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markpriadko15/Documents/Documents - Apple’s MacBook Pro/training materials/Managing budgets/IPAA Managing Budgets Notes &amp; Handouts/"/>
    </mc:Choice>
  </mc:AlternateContent>
  <xr:revisionPtr revIDLastSave="0" documentId="13_ncr:1_{EA3B2268-D26C-FD42-B81D-7D553C178ED5}" xr6:coauthVersionLast="47" xr6:coauthVersionMax="47" xr10:uidLastSave="{00000000-0000-0000-0000-000000000000}"/>
  <bookViews>
    <workbookView xWindow="0" yWindow="500" windowWidth="26300" windowHeight="19360" tabRatio="598" firstSheet="7" activeTab="36" xr2:uid="{00000000-000D-0000-FFFF-FFFF00000000}"/>
  </bookViews>
  <sheets>
    <sheet name="Budget Variation #6" sheetId="15" state="hidden" r:id="rId1"/>
    <sheet name="Budget Variation #7" sheetId="16" state="hidden" r:id="rId2"/>
    <sheet name="Budget Variation #8" sheetId="17" state="hidden" r:id="rId3"/>
    <sheet name="Budget Variation #9" sheetId="18" state="hidden" r:id="rId4"/>
    <sheet name="Budget Variation #10" sheetId="19" state="hidden" r:id="rId5"/>
    <sheet name="Budget Variation #11" sheetId="20" state="hidden" r:id="rId6"/>
    <sheet name="Budget Variation #12" sheetId="21" state="hidden" r:id="rId7"/>
    <sheet name="Budget Variation #13" sheetId="22" state="hidden" r:id="rId8"/>
    <sheet name="Budget Variation #14" sheetId="23" state="hidden" r:id="rId9"/>
    <sheet name="Budget Variation #15" sheetId="24" state="hidden" r:id="rId10"/>
    <sheet name="Budget Variation #16" sheetId="25" state="hidden" r:id="rId11"/>
    <sheet name="Budget Variation #17" sheetId="26" state="hidden" r:id="rId12"/>
    <sheet name="Budget Variation #18" sheetId="27" state="hidden" r:id="rId13"/>
    <sheet name="Budget Variation #19" sheetId="28" state="hidden" r:id="rId14"/>
    <sheet name="Budget Variation #20" sheetId="29" state="hidden" r:id="rId15"/>
    <sheet name="Staff establishment basic" sheetId="59" r:id="rId16"/>
    <sheet name="Staff establishment allowance" sheetId="58" r:id="rId17"/>
    <sheet name="updated budget" sheetId="4" r:id="rId18"/>
    <sheet name="zero based budget" sheetId="2" r:id="rId19"/>
    <sheet name="budget impact" sheetId="10" r:id="rId20"/>
    <sheet name="Proposal #4" sheetId="31" state="hidden" r:id="rId21"/>
    <sheet name="Proposal #5" sheetId="32" state="hidden" r:id="rId22"/>
    <sheet name="Proposal #6" sheetId="33" state="hidden" r:id="rId23"/>
    <sheet name="Proposal #7" sheetId="34" state="hidden" r:id="rId24"/>
    <sheet name="Proposal #8" sheetId="35" state="hidden" r:id="rId25"/>
    <sheet name="Proposal #9" sheetId="36" state="hidden" r:id="rId26"/>
    <sheet name="Proposal #10" sheetId="37" state="hidden" r:id="rId27"/>
    <sheet name="assumptions completed" sheetId="39" r:id="rId28"/>
    <sheet name="assumptions updated" sheetId="43" r:id="rId29"/>
    <sheet name="assumptions blank" sheetId="40" r:id="rId30"/>
    <sheet name="cashflow blank" sheetId="57" r:id="rId31"/>
    <sheet name="cashflow updated" sheetId="42" r:id="rId32"/>
    <sheet name="Month 1 rv" sheetId="51" r:id="rId33"/>
    <sheet name="Month 2 rv" sheetId="52" r:id="rId34"/>
    <sheet name="Month 3 rv" sheetId="53" r:id="rId35"/>
    <sheet name="Month 3 Libraries" sheetId="60" state="hidden" r:id="rId36"/>
    <sheet name="DfE format report" sheetId="61" r:id="rId37"/>
    <sheet name="DEW format" sheetId="62" r:id="rId38"/>
    <sheet name="EPA format" sheetId="63" r:id="rId39"/>
    <sheet name="DHS format" sheetId="64" r:id="rId40"/>
    <sheet name="SAPOL format" sheetId="65" r:id="rId41"/>
    <sheet name="Summary of variances" sheetId="56" r:id="rId42"/>
    <sheet name="August transactions" sheetId="49" r:id="rId43"/>
    <sheet name="August rv" sheetId="54" state="hidden" r:id="rId44"/>
    <sheet name="September transactions" sheetId="50" r:id="rId45"/>
    <sheet name="Month 1 OLD" sheetId="47" r:id="rId46"/>
    <sheet name="Month 2 OLD" sheetId="46" r:id="rId47"/>
    <sheet name="Month 3 OLD" sheetId="45" r:id="rId48"/>
    <sheet name="Summary of variances OLD" sheetId="44" state="hidden" r:id="rId49"/>
  </sheets>
  <definedNames>
    <definedName name="Rates_14_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65" l="1"/>
  <c r="L48" i="65" s="1"/>
  <c r="G48" i="65"/>
  <c r="L37" i="65"/>
  <c r="C13" i="45"/>
  <c r="C13" i="46"/>
  <c r="C13" i="47"/>
  <c r="C17" i="45"/>
  <c r="C17" i="46"/>
  <c r="C17" i="47"/>
  <c r="C22" i="45"/>
  <c r="C21" i="45"/>
  <c r="V21" i="43"/>
  <c r="T21" i="43"/>
  <c r="R21" i="43"/>
  <c r="P21" i="43"/>
  <c r="N21" i="43"/>
  <c r="L21" i="43"/>
  <c r="F52" i="43"/>
  <c r="E18" i="43"/>
  <c r="E19" i="43"/>
  <c r="E20" i="43"/>
  <c r="E17" i="43"/>
  <c r="E11" i="43"/>
  <c r="E11" i="39"/>
  <c r="C15" i="59"/>
  <c r="E33" i="59"/>
  <c r="C15" i="58"/>
  <c r="Q52" i="65"/>
  <c r="R54" i="65"/>
  <c r="J52" i="65"/>
  <c r="L52" i="65" s="1"/>
  <c r="H54" i="65"/>
  <c r="R53" i="65"/>
  <c r="L53" i="65"/>
  <c r="G53" i="65"/>
  <c r="G52" i="65" s="1"/>
  <c r="F52" i="65"/>
  <c r="H52" i="65" s="1"/>
  <c r="K52" i="65"/>
  <c r="R50" i="65"/>
  <c r="L50" i="65"/>
  <c r="H50" i="65"/>
  <c r="K49" i="65"/>
  <c r="L49" i="65"/>
  <c r="H49" i="65"/>
  <c r="Q47" i="65"/>
  <c r="H48" i="65"/>
  <c r="F47" i="65"/>
  <c r="G47" i="65"/>
  <c r="R46" i="65"/>
  <c r="L46" i="65"/>
  <c r="H46" i="65"/>
  <c r="G46" i="65"/>
  <c r="R45" i="65"/>
  <c r="L45" i="65"/>
  <c r="H45" i="65"/>
  <c r="R44" i="65"/>
  <c r="L44" i="65"/>
  <c r="G44" i="65"/>
  <c r="H44" i="65" s="1"/>
  <c r="R43" i="65"/>
  <c r="L43" i="65"/>
  <c r="G43" i="65"/>
  <c r="H43" i="65" s="1"/>
  <c r="R42" i="65"/>
  <c r="L42" i="65"/>
  <c r="G42" i="65"/>
  <c r="H42" i="65" s="1"/>
  <c r="R41" i="65"/>
  <c r="L41" i="65"/>
  <c r="G41" i="65"/>
  <c r="G40" i="65" s="1"/>
  <c r="F40" i="65"/>
  <c r="H40" i="65" s="1"/>
  <c r="Q40" i="65"/>
  <c r="K40" i="65"/>
  <c r="J40" i="65"/>
  <c r="L40" i="65" s="1"/>
  <c r="R39" i="65"/>
  <c r="L39" i="65"/>
  <c r="H39" i="65"/>
  <c r="Q36" i="65"/>
  <c r="R38" i="65"/>
  <c r="L38" i="65"/>
  <c r="F36" i="65"/>
  <c r="R37" i="65"/>
  <c r="H37" i="65"/>
  <c r="K36" i="65"/>
  <c r="G36" i="65"/>
  <c r="R35" i="65"/>
  <c r="L35" i="65"/>
  <c r="G35" i="65"/>
  <c r="G32" i="65" s="1"/>
  <c r="H35" i="65"/>
  <c r="R34" i="65"/>
  <c r="L34" i="65"/>
  <c r="H34" i="65"/>
  <c r="R33" i="65"/>
  <c r="L33" i="65"/>
  <c r="H33" i="65"/>
  <c r="Q32" i="65"/>
  <c r="K32" i="65"/>
  <c r="F26" i="65"/>
  <c r="L24" i="65"/>
  <c r="H24" i="65"/>
  <c r="L23" i="65"/>
  <c r="L22" i="65"/>
  <c r="K17" i="65"/>
  <c r="K26" i="65" s="1"/>
  <c r="R20" i="65"/>
  <c r="L20" i="65"/>
  <c r="G20" i="65"/>
  <c r="H20" i="65"/>
  <c r="L19" i="65"/>
  <c r="G19" i="65"/>
  <c r="H23" i="65" s="1"/>
  <c r="H19" i="65"/>
  <c r="H18" i="65"/>
  <c r="F17" i="65"/>
  <c r="R11" i="65"/>
  <c r="Q11" i="65"/>
  <c r="P11" i="65"/>
  <c r="K11" i="65"/>
  <c r="J11" i="65"/>
  <c r="L11" i="65" s="1"/>
  <c r="G11" i="65"/>
  <c r="F11" i="65"/>
  <c r="H11" i="65" s="1"/>
  <c r="R10" i="65"/>
  <c r="L10" i="65"/>
  <c r="H10" i="65"/>
  <c r="H47" i="65" l="1"/>
  <c r="G56" i="65"/>
  <c r="H36" i="65"/>
  <c r="R48" i="65"/>
  <c r="Q56" i="65"/>
  <c r="J17" i="65"/>
  <c r="L21" i="65"/>
  <c r="R49" i="65"/>
  <c r="H38" i="65"/>
  <c r="F32" i="65"/>
  <c r="K47" i="65"/>
  <c r="K56" i="65" s="1"/>
  <c r="K58" i="65" s="1"/>
  <c r="L54" i="65"/>
  <c r="R18" i="65"/>
  <c r="J47" i="65"/>
  <c r="J36" i="65"/>
  <c r="L36" i="65" s="1"/>
  <c r="R23" i="65"/>
  <c r="J32" i="65"/>
  <c r="P40" i="65"/>
  <c r="R40" i="65" s="1"/>
  <c r="P47" i="65"/>
  <c r="R47" i="65" s="1"/>
  <c r="P52" i="65"/>
  <c r="R52" i="65" s="1"/>
  <c r="R19" i="65"/>
  <c r="H53" i="65"/>
  <c r="Q17" i="65"/>
  <c r="Q26" i="65" s="1"/>
  <c r="R24" i="65"/>
  <c r="P36" i="65"/>
  <c r="R36" i="65" s="1"/>
  <c r="H41" i="65"/>
  <c r="L18" i="65"/>
  <c r="H22" i="65"/>
  <c r="P32" i="65"/>
  <c r="L47" i="65" l="1"/>
  <c r="R21" i="65"/>
  <c r="F56" i="65"/>
  <c r="F58" i="65" s="1"/>
  <c r="H32" i="65"/>
  <c r="G17" i="65"/>
  <c r="H21" i="65"/>
  <c r="R22" i="65"/>
  <c r="P17" i="65"/>
  <c r="R32" i="65"/>
  <c r="P56" i="65"/>
  <c r="L17" i="65"/>
  <c r="J26" i="65"/>
  <c r="L26" i="65" s="1"/>
  <c r="L32" i="65"/>
  <c r="J56" i="65"/>
  <c r="J58" i="65" s="1"/>
  <c r="L58" i="65" s="1"/>
  <c r="Q58" i="65"/>
  <c r="P26" i="65" l="1"/>
  <c r="R26" i="65" s="1"/>
  <c r="R17" i="65"/>
  <c r="R56" i="65" s="1"/>
  <c r="G26" i="65"/>
  <c r="H17" i="65"/>
  <c r="H56" i="65" s="1"/>
  <c r="L56" i="65"/>
  <c r="P58" i="65"/>
  <c r="R58" i="65" s="1"/>
  <c r="G58" i="65" l="1"/>
  <c r="H58" i="65" s="1"/>
  <c r="H26" i="65"/>
  <c r="R32" i="64" l="1"/>
  <c r="L32" i="64"/>
  <c r="H32" i="64"/>
  <c r="R31" i="64"/>
  <c r="L31" i="64"/>
  <c r="G31" i="64"/>
  <c r="H31" i="64"/>
  <c r="R30" i="64"/>
  <c r="L30" i="64"/>
  <c r="H30" i="64"/>
  <c r="R29" i="64"/>
  <c r="L29" i="64"/>
  <c r="G29" i="64"/>
  <c r="H29" i="64"/>
  <c r="K28" i="64"/>
  <c r="R28" i="64" s="1"/>
  <c r="L28" i="64"/>
  <c r="F17" i="64"/>
  <c r="R27" i="64"/>
  <c r="L27" i="64"/>
  <c r="H27" i="64"/>
  <c r="R26" i="64"/>
  <c r="K26" i="64"/>
  <c r="L26" i="64"/>
  <c r="H26" i="64"/>
  <c r="R25" i="64"/>
  <c r="L25" i="64"/>
  <c r="H25" i="64"/>
  <c r="G25" i="64"/>
  <c r="R24" i="64"/>
  <c r="L24" i="64"/>
  <c r="H24" i="64"/>
  <c r="G24" i="64"/>
  <c r="R23" i="64"/>
  <c r="L23" i="64"/>
  <c r="H23" i="64"/>
  <c r="G23" i="64"/>
  <c r="R22" i="64"/>
  <c r="L22" i="64"/>
  <c r="H22" i="64"/>
  <c r="G22" i="64"/>
  <c r="R21" i="64"/>
  <c r="L21" i="64"/>
  <c r="H21" i="64"/>
  <c r="G21" i="64"/>
  <c r="G17" i="64" s="1"/>
  <c r="G8" i="64" s="1"/>
  <c r="G7" i="64" s="1"/>
  <c r="R20" i="64"/>
  <c r="L20" i="64"/>
  <c r="H20" i="64"/>
  <c r="R19" i="64"/>
  <c r="L19" i="64"/>
  <c r="H19" i="64"/>
  <c r="R18" i="64"/>
  <c r="L18" i="64"/>
  <c r="H18" i="64"/>
  <c r="K17" i="64"/>
  <c r="J17" i="64"/>
  <c r="L17" i="64" s="1"/>
  <c r="L8" i="64" s="1"/>
  <c r="L7" i="64" s="1"/>
  <c r="L12" i="64"/>
  <c r="R12" i="64"/>
  <c r="G12" i="64"/>
  <c r="F9" i="64"/>
  <c r="R11" i="64"/>
  <c r="L11" i="64"/>
  <c r="G11" i="64"/>
  <c r="L16" i="64"/>
  <c r="H10" i="64"/>
  <c r="K8" i="64"/>
  <c r="J8" i="64"/>
  <c r="J7" i="64" s="1"/>
  <c r="K7" i="64"/>
  <c r="P17" i="64" l="1"/>
  <c r="H17" i="64"/>
  <c r="H8" i="64" s="1"/>
  <c r="H7" i="64" s="1"/>
  <c r="F8" i="64"/>
  <c r="F7" i="64" s="1"/>
  <c r="H12" i="64"/>
  <c r="L10" i="64"/>
  <c r="G9" i="64"/>
  <c r="H9" i="64" s="1"/>
  <c r="H28" i="64"/>
  <c r="L13" i="64"/>
  <c r="H15" i="64"/>
  <c r="Q17" i="64"/>
  <c r="Q8" i="64" s="1"/>
  <c r="Q7" i="64" s="1"/>
  <c r="H11" i="64"/>
  <c r="Q9" i="64"/>
  <c r="H13" i="64"/>
  <c r="H16" i="64"/>
  <c r="L15" i="64"/>
  <c r="K9" i="64"/>
  <c r="H14" i="64" l="1"/>
  <c r="J9" i="64"/>
  <c r="L9" i="64" s="1"/>
  <c r="R17" i="64"/>
  <c r="R8" i="64" s="1"/>
  <c r="R7" i="64" s="1"/>
  <c r="P8" i="64"/>
  <c r="P7" i="64" s="1"/>
  <c r="R13" i="64"/>
  <c r="R14" i="64"/>
  <c r="R16" i="64"/>
  <c r="R15" i="64"/>
  <c r="R10" i="64"/>
  <c r="L14" i="64"/>
  <c r="P9" i="64" l="1"/>
  <c r="R9" i="64" s="1"/>
  <c r="P20" i="63" l="1"/>
  <c r="N20" i="63"/>
  <c r="M20" i="63"/>
  <c r="M12" i="63"/>
  <c r="M13" i="63"/>
  <c r="M15" i="63"/>
  <c r="N15" i="63"/>
  <c r="M18" i="63"/>
  <c r="M19" i="63"/>
  <c r="O15" i="63"/>
  <c r="K20" i="63"/>
  <c r="J20" i="63"/>
  <c r="J12" i="63"/>
  <c r="J13" i="63"/>
  <c r="J15" i="63"/>
  <c r="J18" i="63"/>
  <c r="J19" i="63"/>
  <c r="J9" i="63"/>
  <c r="I22" i="62"/>
  <c r="I23" i="62"/>
  <c r="I8" i="62"/>
  <c r="I5" i="62"/>
  <c r="J5" i="62" s="1"/>
  <c r="J29" i="62"/>
  <c r="J28" i="62"/>
  <c r="J27" i="62"/>
  <c r="I30" i="62"/>
  <c r="I31" i="62" s="1"/>
  <c r="H30" i="62"/>
  <c r="H31" i="62" s="1"/>
  <c r="H8" i="62"/>
  <c r="H5" i="62"/>
  <c r="G23" i="62"/>
  <c r="F23" i="62"/>
  <c r="E23" i="62"/>
  <c r="F22" i="62"/>
  <c r="E22" i="62"/>
  <c r="F8" i="62"/>
  <c r="F5" i="62"/>
  <c r="F16" i="62"/>
  <c r="E13" i="62"/>
  <c r="E14" i="62"/>
  <c r="E16" i="62"/>
  <c r="E19" i="62"/>
  <c r="E20" i="62"/>
  <c r="F30" i="62"/>
  <c r="F31" i="62" s="1"/>
  <c r="E30" i="62"/>
  <c r="G28" i="62"/>
  <c r="G29" i="62"/>
  <c r="G27" i="62"/>
  <c r="J8" i="62"/>
  <c r="E8" i="62"/>
  <c r="E5" i="62"/>
  <c r="O20" i="63" l="1"/>
  <c r="L20" i="63"/>
  <c r="J31" i="62"/>
  <c r="J30" i="62"/>
  <c r="G22" i="62"/>
  <c r="G16" i="62"/>
  <c r="G30" i="62"/>
  <c r="G5" i="62"/>
  <c r="G8" i="62"/>
  <c r="E31" i="62"/>
  <c r="G31" i="62" s="1"/>
  <c r="D33" i="50" l="1"/>
  <c r="D25" i="50"/>
  <c r="E9" i="43"/>
  <c r="H9" i="43" s="1"/>
  <c r="E9" i="39"/>
  <c r="H9" i="39" s="1"/>
  <c r="H38" i="53"/>
  <c r="Q25" i="61"/>
  <c r="R25" i="61"/>
  <c r="T25" i="61"/>
  <c r="U25" i="61"/>
  <c r="W25" i="61"/>
  <c r="O25" i="61"/>
  <c r="Q16" i="61"/>
  <c r="R16" i="61"/>
  <c r="T16" i="61"/>
  <c r="U16" i="61"/>
  <c r="W16" i="61"/>
  <c r="O16" i="61"/>
  <c r="N29" i="61"/>
  <c r="M29" i="61"/>
  <c r="N21" i="61"/>
  <c r="J14" i="63" s="1"/>
  <c r="M21" i="61"/>
  <c r="M25" i="61"/>
  <c r="N25" i="61"/>
  <c r="M23" i="61"/>
  <c r="M19" i="61"/>
  <c r="K19" i="61"/>
  <c r="N19" i="61"/>
  <c r="M20" i="61"/>
  <c r="K20" i="61"/>
  <c r="N20" i="61"/>
  <c r="K22" i="61"/>
  <c r="N16" i="61"/>
  <c r="L29" i="61"/>
  <c r="L25" i="61"/>
  <c r="L26" i="61"/>
  <c r="L23" i="61"/>
  <c r="L19" i="61"/>
  <c r="L20" i="61"/>
  <c r="L16" i="61"/>
  <c r="K29" i="61"/>
  <c r="K30" i="61"/>
  <c r="K25" i="61"/>
  <c r="X33" i="61"/>
  <c r="X35" i="61"/>
  <c r="X37" i="61"/>
  <c r="X39" i="61"/>
  <c r="L30" i="61"/>
  <c r="M30" i="61"/>
  <c r="N30" i="61"/>
  <c r="X30" i="61"/>
  <c r="X27" i="61"/>
  <c r="X14" i="61"/>
  <c r="H29" i="61"/>
  <c r="H30" i="61"/>
  <c r="G30" i="61"/>
  <c r="F30" i="61"/>
  <c r="E30" i="61"/>
  <c r="G29" i="61"/>
  <c r="F29" i="61"/>
  <c r="E29" i="61"/>
  <c r="G22" i="61"/>
  <c r="E25" i="61"/>
  <c r="E20" i="61"/>
  <c r="E19" i="61"/>
  <c r="H49" i="60"/>
  <c r="I46" i="60"/>
  <c r="H46" i="60"/>
  <c r="G46" i="60"/>
  <c r="C46" i="60"/>
  <c r="P45" i="60"/>
  <c r="P46" i="60"/>
  <c r="L45" i="60"/>
  <c r="L46" i="60"/>
  <c r="K45" i="60"/>
  <c r="K46" i="60"/>
  <c r="M46" i="60"/>
  <c r="I45" i="60"/>
  <c r="E45" i="60"/>
  <c r="E46" i="60"/>
  <c r="H41" i="60"/>
  <c r="L40" i="60"/>
  <c r="G40" i="60"/>
  <c r="I40" i="60" s="1"/>
  <c r="H39" i="60"/>
  <c r="H37" i="60"/>
  <c r="H36" i="60"/>
  <c r="L36" i="60"/>
  <c r="H35" i="60"/>
  <c r="L35" i="60"/>
  <c r="H34" i="60"/>
  <c r="H33" i="60"/>
  <c r="H32" i="60"/>
  <c r="G32" i="60"/>
  <c r="K15" i="60"/>
  <c r="C20" i="46"/>
  <c r="D13" i="47"/>
  <c r="D13" i="46" s="1"/>
  <c r="D13" i="45" s="1"/>
  <c r="E21" i="59"/>
  <c r="E25" i="59" s="1"/>
  <c r="E29" i="59" s="1"/>
  <c r="E22" i="59"/>
  <c r="G22" i="59" s="1"/>
  <c r="E23" i="59"/>
  <c r="D27" i="59"/>
  <c r="E27" i="59"/>
  <c r="D31" i="59"/>
  <c r="E31" i="59" s="1"/>
  <c r="G31" i="59" s="1"/>
  <c r="F7" i="59"/>
  <c r="F8" i="59"/>
  <c r="I8" i="59" s="1"/>
  <c r="F9" i="59"/>
  <c r="H9" i="59" s="1"/>
  <c r="F10" i="59"/>
  <c r="G10" i="59" s="1"/>
  <c r="F11" i="59"/>
  <c r="G11" i="59" s="1"/>
  <c r="F12" i="59"/>
  <c r="H12" i="59" s="1"/>
  <c r="F15" i="59"/>
  <c r="J15" i="59" s="1"/>
  <c r="C17" i="59"/>
  <c r="G12" i="59"/>
  <c r="I11" i="59"/>
  <c r="H37" i="53"/>
  <c r="H37" i="52"/>
  <c r="H37" i="51"/>
  <c r="L21" i="61" s="1"/>
  <c r="L37" i="51"/>
  <c r="L37" i="52" s="1"/>
  <c r="D20" i="47"/>
  <c r="D20" i="46" s="1"/>
  <c r="D20" i="45" s="1"/>
  <c r="H21" i="43"/>
  <c r="T21" i="61" s="1"/>
  <c r="H20" i="43"/>
  <c r="H21" i="39"/>
  <c r="H20" i="39"/>
  <c r="E22" i="58"/>
  <c r="E21" i="58"/>
  <c r="D27" i="58"/>
  <c r="E27" i="58"/>
  <c r="G27" i="58"/>
  <c r="E23" i="58"/>
  <c r="G23" i="58"/>
  <c r="D31" i="58"/>
  <c r="E31" i="58"/>
  <c r="G31" i="58"/>
  <c r="F7" i="58"/>
  <c r="G7" i="58" s="1"/>
  <c r="F8" i="58"/>
  <c r="I8" i="58" s="1"/>
  <c r="F9" i="58"/>
  <c r="G9" i="58" s="1"/>
  <c r="K9" i="58" s="1"/>
  <c r="F10" i="58"/>
  <c r="G10" i="58"/>
  <c r="F11" i="58"/>
  <c r="F12" i="58"/>
  <c r="F13" i="58" s="1"/>
  <c r="H13" i="58" s="1"/>
  <c r="E40" i="43"/>
  <c r="H40" i="51"/>
  <c r="L40" i="51"/>
  <c r="L40" i="52"/>
  <c r="L40" i="53"/>
  <c r="H40" i="52"/>
  <c r="H39" i="53"/>
  <c r="G33" i="43"/>
  <c r="H33" i="43" s="1"/>
  <c r="E39" i="43"/>
  <c r="G39" i="43" s="1"/>
  <c r="H39" i="43" s="1"/>
  <c r="S39" i="43" s="1"/>
  <c r="E38" i="43"/>
  <c r="G38" i="43" s="1"/>
  <c r="H38" i="43" s="1"/>
  <c r="E37" i="43"/>
  <c r="G37" i="43" s="1"/>
  <c r="H37" i="43" s="1"/>
  <c r="E32" i="43"/>
  <c r="G32" i="43" s="1"/>
  <c r="H32" i="43" s="1"/>
  <c r="E31" i="43"/>
  <c r="G31" i="43" s="1"/>
  <c r="H31" i="43" s="1"/>
  <c r="Q31" i="43" s="1"/>
  <c r="E30" i="43"/>
  <c r="G30" i="43" s="1"/>
  <c r="H30" i="43" s="1"/>
  <c r="E28" i="43"/>
  <c r="G28" i="43" s="1"/>
  <c r="H28" i="43" s="1"/>
  <c r="S28" i="43" s="1"/>
  <c r="E27" i="43"/>
  <c r="G27" i="43" s="1"/>
  <c r="E26" i="43"/>
  <c r="G26" i="43" s="1"/>
  <c r="H26" i="43" s="1"/>
  <c r="H20" i="4"/>
  <c r="I20" i="4" s="1"/>
  <c r="H22" i="4"/>
  <c r="I22" i="4"/>
  <c r="H52" i="43"/>
  <c r="G25" i="47" s="1"/>
  <c r="E25" i="47" s="1"/>
  <c r="G49" i="51" s="1"/>
  <c r="H49" i="51"/>
  <c r="L49" i="51" s="1"/>
  <c r="H50" i="51"/>
  <c r="H49" i="52"/>
  <c r="M32" i="61" s="1"/>
  <c r="M33" i="61" s="1"/>
  <c r="E45" i="51"/>
  <c r="E46" i="51"/>
  <c r="G43" i="43"/>
  <c r="H43" i="43" s="1"/>
  <c r="G44" i="43"/>
  <c r="H44" i="43"/>
  <c r="O44" i="43" s="1"/>
  <c r="G34" i="43"/>
  <c r="H34" i="43" s="1"/>
  <c r="H41" i="51"/>
  <c r="H41" i="52"/>
  <c r="H22" i="43"/>
  <c r="G23" i="47"/>
  <c r="H39" i="51"/>
  <c r="L24" i="61" s="1"/>
  <c r="H39" i="52"/>
  <c r="M24" i="61" s="1"/>
  <c r="H18" i="43"/>
  <c r="S18" i="43" s="1"/>
  <c r="H38" i="51"/>
  <c r="H38" i="52"/>
  <c r="G36" i="43"/>
  <c r="H36" i="43" s="1"/>
  <c r="G40" i="43"/>
  <c r="H40" i="43" s="1"/>
  <c r="G41" i="43"/>
  <c r="H41" i="43" s="1"/>
  <c r="H36" i="51"/>
  <c r="L36" i="51"/>
  <c r="H36" i="52"/>
  <c r="G35" i="43"/>
  <c r="H35" i="43"/>
  <c r="S35" i="43" s="1"/>
  <c r="T19" i="61" s="1"/>
  <c r="H35" i="51"/>
  <c r="H35" i="52"/>
  <c r="H34" i="51"/>
  <c r="L34" i="51" s="1"/>
  <c r="H34" i="52"/>
  <c r="M18" i="61" s="1"/>
  <c r="H11" i="43"/>
  <c r="H19" i="43"/>
  <c r="P19" i="43" s="1"/>
  <c r="H33" i="51"/>
  <c r="L17" i="61" s="1"/>
  <c r="H33" i="52"/>
  <c r="M17" i="61" s="1"/>
  <c r="F17" i="43"/>
  <c r="H17" i="43"/>
  <c r="G15" i="47" s="1"/>
  <c r="H32" i="51"/>
  <c r="H32" i="52"/>
  <c r="M16" i="61" s="1"/>
  <c r="K16" i="61" s="1"/>
  <c r="H49" i="53"/>
  <c r="N32" i="61" s="1"/>
  <c r="H32" i="53"/>
  <c r="H33" i="53"/>
  <c r="N17" i="61" s="1"/>
  <c r="J10" i="63" s="1"/>
  <c r="H34" i="53"/>
  <c r="N18" i="61" s="1"/>
  <c r="J11" i="63" s="1"/>
  <c r="H35" i="53"/>
  <c r="H36" i="53"/>
  <c r="H41" i="53"/>
  <c r="N26" i="61" s="1"/>
  <c r="G40" i="53"/>
  <c r="K18" i="63" s="1"/>
  <c r="L18" i="63" s="1"/>
  <c r="G32" i="53"/>
  <c r="K9" i="63" s="1"/>
  <c r="L9" i="63" s="1"/>
  <c r="L22" i="43"/>
  <c r="G40" i="52" s="1"/>
  <c r="G40" i="51"/>
  <c r="I40" i="51" s="1"/>
  <c r="H47" i="43"/>
  <c r="L47" i="43"/>
  <c r="H48" i="43"/>
  <c r="Q48" i="43" s="1"/>
  <c r="M47" i="43"/>
  <c r="N47" i="43"/>
  <c r="O29" i="61" s="1"/>
  <c r="O22" i="43"/>
  <c r="P25" i="61" s="1"/>
  <c r="O47" i="43"/>
  <c r="P47" i="43"/>
  <c r="Q47" i="43"/>
  <c r="R22" i="43"/>
  <c r="S25" i="61" s="1"/>
  <c r="R47" i="43"/>
  <c r="S29" i="61" s="1"/>
  <c r="S30" i="61" s="1"/>
  <c r="S47" i="43"/>
  <c r="T29" i="61" s="1"/>
  <c r="T30" i="61" s="1"/>
  <c r="T47" i="43"/>
  <c r="U29" i="61" s="1"/>
  <c r="U30" i="61" s="1"/>
  <c r="U22" i="43"/>
  <c r="V25" i="61" s="1"/>
  <c r="U47" i="43"/>
  <c r="V29" i="61" s="1"/>
  <c r="V30" i="61" s="1"/>
  <c r="V47" i="43"/>
  <c r="W29" i="61" s="1"/>
  <c r="W30" i="61" s="1"/>
  <c r="K47" i="43"/>
  <c r="P45" i="53"/>
  <c r="P45" i="52"/>
  <c r="P46" i="52"/>
  <c r="P45" i="51"/>
  <c r="R37" i="57"/>
  <c r="F62" i="57"/>
  <c r="O62" i="57" s="1"/>
  <c r="R61" i="57"/>
  <c r="R49" i="57"/>
  <c r="Q37" i="57"/>
  <c r="Q61" i="57"/>
  <c r="Q49" i="57"/>
  <c r="P37" i="57"/>
  <c r="P62" i="57"/>
  <c r="P61" i="57"/>
  <c r="P49" i="57"/>
  <c r="O37" i="57"/>
  <c r="O61" i="57"/>
  <c r="O49" i="57"/>
  <c r="N37" i="57"/>
  <c r="N62" i="57"/>
  <c r="N61" i="57"/>
  <c r="N49" i="57"/>
  <c r="M37" i="57"/>
  <c r="M61" i="57"/>
  <c r="M49" i="57"/>
  <c r="L37" i="57"/>
  <c r="L62" i="57"/>
  <c r="L64" i="57" s="1"/>
  <c r="L66" i="57"/>
  <c r="L61" i="57"/>
  <c r="L49" i="57"/>
  <c r="K37" i="57"/>
  <c r="K59" i="57"/>
  <c r="K61" i="57"/>
  <c r="K49" i="57"/>
  <c r="J37" i="57"/>
  <c r="J61" i="57"/>
  <c r="J49" i="57"/>
  <c r="I37" i="57"/>
  <c r="I61" i="57"/>
  <c r="I49" i="57"/>
  <c r="H37" i="57"/>
  <c r="H62" i="57"/>
  <c r="H66" i="57" s="1"/>
  <c r="H61" i="57"/>
  <c r="H49" i="57"/>
  <c r="G37" i="57"/>
  <c r="G61" i="57"/>
  <c r="G49" i="57"/>
  <c r="F37" i="57"/>
  <c r="F61" i="57"/>
  <c r="F49" i="57"/>
  <c r="E37" i="57"/>
  <c r="E66" i="57"/>
  <c r="E61" i="57"/>
  <c r="E49" i="57"/>
  <c r="R18" i="57"/>
  <c r="R59" i="57"/>
  <c r="R39" i="57"/>
  <c r="Q18" i="57"/>
  <c r="Q39" i="57"/>
  <c r="P18" i="57"/>
  <c r="P39" i="57"/>
  <c r="O18" i="57"/>
  <c r="O59" i="57"/>
  <c r="O39" i="57"/>
  <c r="N18" i="57"/>
  <c r="N39" i="57"/>
  <c r="M18" i="57"/>
  <c r="M39" i="57"/>
  <c r="J18" i="57"/>
  <c r="L18" i="57"/>
  <c r="L59" i="57"/>
  <c r="K18" i="57"/>
  <c r="L39" i="57"/>
  <c r="K39" i="57"/>
  <c r="J39" i="57"/>
  <c r="G18" i="57"/>
  <c r="F18" i="57"/>
  <c r="I39" i="57"/>
  <c r="H39" i="57"/>
  <c r="G39" i="57"/>
  <c r="F39" i="57"/>
  <c r="E18" i="57"/>
  <c r="E59" i="57"/>
  <c r="E64" i="57"/>
  <c r="E39" i="57"/>
  <c r="T37" i="57"/>
  <c r="T18" i="57"/>
  <c r="T49" i="57"/>
  <c r="T39" i="57"/>
  <c r="S37" i="57"/>
  <c r="S59" i="57"/>
  <c r="S18" i="57"/>
  <c r="S49" i="57"/>
  <c r="S39" i="57"/>
  <c r="K15" i="51"/>
  <c r="K15" i="52"/>
  <c r="K15" i="53"/>
  <c r="K45" i="56"/>
  <c r="I45" i="53"/>
  <c r="G44" i="56"/>
  <c r="G45" i="56"/>
  <c r="I45" i="52"/>
  <c r="F44" i="56"/>
  <c r="F45" i="56"/>
  <c r="I45" i="51"/>
  <c r="M45" i="51"/>
  <c r="C45" i="56"/>
  <c r="L32" i="51"/>
  <c r="L33" i="51"/>
  <c r="L33" i="52" s="1"/>
  <c r="L35" i="51"/>
  <c r="L35" i="52"/>
  <c r="L38" i="51"/>
  <c r="L38" i="52"/>
  <c r="L39" i="51"/>
  <c r="L39" i="52" s="1"/>
  <c r="L41" i="51"/>
  <c r="L45" i="51"/>
  <c r="L46" i="51"/>
  <c r="C46" i="52"/>
  <c r="E15" i="47"/>
  <c r="F15" i="47" s="1"/>
  <c r="D15" i="44" s="1"/>
  <c r="G32" i="51"/>
  <c r="K32" i="51" s="1"/>
  <c r="K45" i="51"/>
  <c r="K46" i="51"/>
  <c r="K45" i="52"/>
  <c r="K46" i="52"/>
  <c r="G46" i="52"/>
  <c r="H46" i="52"/>
  <c r="I46" i="52"/>
  <c r="H50" i="52"/>
  <c r="C46" i="53"/>
  <c r="G46" i="53"/>
  <c r="I46" i="53"/>
  <c r="H46" i="53"/>
  <c r="H50" i="53"/>
  <c r="D46" i="52"/>
  <c r="P46" i="51"/>
  <c r="C46" i="51"/>
  <c r="Q46" i="51"/>
  <c r="G46" i="51"/>
  <c r="I46" i="51"/>
  <c r="H46" i="51"/>
  <c r="H11" i="39"/>
  <c r="H47" i="39"/>
  <c r="H46" i="39" s="1"/>
  <c r="H48" i="39"/>
  <c r="H19" i="39"/>
  <c r="H18" i="39"/>
  <c r="H22" i="39"/>
  <c r="G38" i="39"/>
  <c r="H38" i="39" s="1"/>
  <c r="G37" i="39"/>
  <c r="H37" i="39" s="1"/>
  <c r="G39" i="39"/>
  <c r="H39" i="39" s="1"/>
  <c r="G40" i="39"/>
  <c r="H40" i="39" s="1"/>
  <c r="G26" i="39"/>
  <c r="H26" i="39" s="1"/>
  <c r="G27" i="39"/>
  <c r="H27" i="39" s="1"/>
  <c r="G33" i="39"/>
  <c r="H33" i="39" s="1"/>
  <c r="G28" i="39"/>
  <c r="H28" i="39" s="1"/>
  <c r="G43" i="39"/>
  <c r="H43" i="39" s="1"/>
  <c r="G44" i="39"/>
  <c r="H44" i="39" s="1"/>
  <c r="G35" i="39"/>
  <c r="H35" i="39" s="1"/>
  <c r="G36" i="39"/>
  <c r="H36" i="39" s="1"/>
  <c r="G41" i="39"/>
  <c r="H41" i="39" s="1"/>
  <c r="G34" i="39"/>
  <c r="H34" i="39" s="1"/>
  <c r="H52" i="39"/>
  <c r="H50" i="39"/>
  <c r="G25" i="2" s="1"/>
  <c r="F17" i="39"/>
  <c r="H17" i="39" s="1"/>
  <c r="G32" i="39"/>
  <c r="H32" i="39" s="1"/>
  <c r="G30" i="39"/>
  <c r="H30" i="39" s="1"/>
  <c r="G31" i="39"/>
  <c r="H31" i="39"/>
  <c r="C25" i="56"/>
  <c r="C41" i="56"/>
  <c r="C49" i="56"/>
  <c r="C51" i="56"/>
  <c r="C53" i="56"/>
  <c r="C58" i="56"/>
  <c r="D40" i="50"/>
  <c r="D39" i="50"/>
  <c r="D38" i="50"/>
  <c r="D37" i="50"/>
  <c r="D36" i="50"/>
  <c r="D35" i="50"/>
  <c r="D34" i="50"/>
  <c r="D32" i="50"/>
  <c r="D31" i="50"/>
  <c r="D30" i="50"/>
  <c r="D29" i="50"/>
  <c r="D28" i="50"/>
  <c r="D27" i="50"/>
  <c r="D26" i="50"/>
  <c r="D24" i="50"/>
  <c r="D23" i="50"/>
  <c r="D22" i="50"/>
  <c r="D21" i="50"/>
  <c r="C48" i="54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20" i="49"/>
  <c r="D41" i="49"/>
  <c r="C25" i="54"/>
  <c r="D16" i="50"/>
  <c r="D52" i="50"/>
  <c r="D18" i="50"/>
  <c r="D23" i="47"/>
  <c r="D16" i="47"/>
  <c r="D16" i="46" s="1"/>
  <c r="D16" i="45" s="1"/>
  <c r="D24" i="47"/>
  <c r="D24" i="46" s="1"/>
  <c r="G26" i="44"/>
  <c r="C27" i="45"/>
  <c r="C27" i="46"/>
  <c r="D15" i="47"/>
  <c r="D17" i="47"/>
  <c r="D17" i="46" s="1"/>
  <c r="D17" i="45" s="1"/>
  <c r="D18" i="47"/>
  <c r="D19" i="47"/>
  <c r="D21" i="47"/>
  <c r="D21" i="46"/>
  <c r="D22" i="47"/>
  <c r="D25" i="47"/>
  <c r="D25" i="46" s="1"/>
  <c r="D25" i="45" s="1"/>
  <c r="C27" i="47"/>
  <c r="K23" i="10"/>
  <c r="K24" i="10"/>
  <c r="K25" i="10"/>
  <c r="K27" i="10"/>
  <c r="K31" i="10"/>
  <c r="K32" i="10"/>
  <c r="K33" i="10"/>
  <c r="K34" i="10"/>
  <c r="K35" i="10"/>
  <c r="K36" i="10"/>
  <c r="K37" i="10"/>
  <c r="K38" i="10"/>
  <c r="K39" i="10"/>
  <c r="K41" i="10"/>
  <c r="K42" i="10"/>
  <c r="K43" i="10"/>
  <c r="K44" i="10"/>
  <c r="K45" i="10"/>
  <c r="K46" i="10"/>
  <c r="K47" i="10"/>
  <c r="K48" i="10"/>
  <c r="K8" i="10"/>
  <c r="K30" i="4"/>
  <c r="K40" i="4"/>
  <c r="K29" i="2"/>
  <c r="K39" i="2"/>
  <c r="R49" i="42"/>
  <c r="Q49" i="42"/>
  <c r="P49" i="42"/>
  <c r="O49" i="42"/>
  <c r="N49" i="42"/>
  <c r="M49" i="42"/>
  <c r="L49" i="42"/>
  <c r="K49" i="42"/>
  <c r="J49" i="42"/>
  <c r="I49" i="42"/>
  <c r="H49" i="42"/>
  <c r="R39" i="42"/>
  <c r="R18" i="42"/>
  <c r="Q39" i="42"/>
  <c r="Q18" i="42"/>
  <c r="P39" i="42"/>
  <c r="P18" i="42"/>
  <c r="O39" i="42"/>
  <c r="O18" i="42"/>
  <c r="N39" i="42"/>
  <c r="N18" i="42"/>
  <c r="M39" i="42"/>
  <c r="M18" i="42"/>
  <c r="L39" i="42"/>
  <c r="J18" i="42"/>
  <c r="L18" i="42"/>
  <c r="K18" i="42"/>
  <c r="K39" i="42"/>
  <c r="J39" i="42"/>
  <c r="I39" i="42"/>
  <c r="F18" i="42"/>
  <c r="H18" i="42"/>
  <c r="I18" i="42"/>
  <c r="G18" i="42"/>
  <c r="H39" i="42"/>
  <c r="G49" i="42"/>
  <c r="G39" i="42"/>
  <c r="N19" i="4"/>
  <c r="N52" i="4"/>
  <c r="N40" i="4"/>
  <c r="M19" i="4"/>
  <c r="M52" i="4"/>
  <c r="M40" i="4"/>
  <c r="M57" i="4"/>
  <c r="L19" i="4"/>
  <c r="L57" i="4"/>
  <c r="L52" i="4"/>
  <c r="L40" i="4"/>
  <c r="H21" i="4"/>
  <c r="I21" i="4"/>
  <c r="J21" i="4"/>
  <c r="K21" i="4"/>
  <c r="H26" i="4"/>
  <c r="I26" i="4"/>
  <c r="J26" i="4"/>
  <c r="K26" i="4"/>
  <c r="J40" i="4"/>
  <c r="I40" i="4"/>
  <c r="H19" i="4"/>
  <c r="H57" i="4" s="1"/>
  <c r="H52" i="4"/>
  <c r="H40" i="4"/>
  <c r="G19" i="4"/>
  <c r="G50" i="4" s="1"/>
  <c r="G52" i="4"/>
  <c r="G53" i="4"/>
  <c r="G57" i="4" s="1"/>
  <c r="G40" i="4"/>
  <c r="F19" i="4"/>
  <c r="F50" i="4"/>
  <c r="F55" i="4"/>
  <c r="F52" i="4"/>
  <c r="F40" i="4"/>
  <c r="E19" i="4"/>
  <c r="E52" i="4"/>
  <c r="E40" i="4"/>
  <c r="E57" i="4"/>
  <c r="N8" i="4"/>
  <c r="N30" i="4"/>
  <c r="M8" i="4"/>
  <c r="M50" i="4"/>
  <c r="M55" i="4"/>
  <c r="M30" i="4"/>
  <c r="L8" i="4"/>
  <c r="L30" i="4"/>
  <c r="K8" i="4"/>
  <c r="J8" i="4"/>
  <c r="J30" i="4"/>
  <c r="I8" i="4"/>
  <c r="I30" i="4"/>
  <c r="H8" i="4"/>
  <c r="H30" i="4"/>
  <c r="G8" i="4"/>
  <c r="G30" i="4"/>
  <c r="F8" i="4"/>
  <c r="F30" i="4"/>
  <c r="E8" i="4"/>
  <c r="E50" i="4"/>
  <c r="E55" i="4"/>
  <c r="E30" i="4"/>
  <c r="F62" i="42"/>
  <c r="S37" i="42"/>
  <c r="T37" i="42"/>
  <c r="S39" i="42"/>
  <c r="S59" i="42"/>
  <c r="T39" i="42"/>
  <c r="T59" i="42"/>
  <c r="S49" i="42"/>
  <c r="T49" i="42"/>
  <c r="S18" i="42"/>
  <c r="T18" i="42"/>
  <c r="F49" i="42"/>
  <c r="E37" i="42"/>
  <c r="E61" i="42"/>
  <c r="E66" i="42"/>
  <c r="E49" i="42"/>
  <c r="F39" i="42"/>
  <c r="E18" i="42"/>
  <c r="E39" i="42"/>
  <c r="B1" i="19"/>
  <c r="E8" i="19"/>
  <c r="F8" i="19"/>
  <c r="G8" i="19"/>
  <c r="H8" i="19"/>
  <c r="I8" i="19"/>
  <c r="J8" i="19"/>
  <c r="K8" i="19"/>
  <c r="L8" i="19"/>
  <c r="M8" i="19"/>
  <c r="M50" i="19"/>
  <c r="M55" i="19"/>
  <c r="N8" i="19"/>
  <c r="E19" i="19"/>
  <c r="F19" i="19"/>
  <c r="G19" i="19"/>
  <c r="H19" i="19"/>
  <c r="I19" i="19"/>
  <c r="J19" i="19"/>
  <c r="K19" i="19"/>
  <c r="L19" i="19"/>
  <c r="L50" i="19"/>
  <c r="M19" i="19"/>
  <c r="N19" i="19"/>
  <c r="E30" i="19"/>
  <c r="F30" i="19"/>
  <c r="G30" i="19"/>
  <c r="H30" i="19"/>
  <c r="I30" i="19"/>
  <c r="J30" i="19"/>
  <c r="K30" i="19"/>
  <c r="L30" i="19"/>
  <c r="M30" i="19"/>
  <c r="N30" i="19"/>
  <c r="E40" i="19"/>
  <c r="F40" i="19"/>
  <c r="G40" i="19"/>
  <c r="G57" i="19"/>
  <c r="H40" i="19"/>
  <c r="I40" i="19"/>
  <c r="J40" i="19"/>
  <c r="K40" i="19"/>
  <c r="L40" i="19"/>
  <c r="M40" i="19"/>
  <c r="N40" i="19"/>
  <c r="E50" i="19"/>
  <c r="E55" i="19"/>
  <c r="E52" i="19"/>
  <c r="E57" i="19"/>
  <c r="F52" i="19"/>
  <c r="F57" i="19"/>
  <c r="G52" i="19"/>
  <c r="H52" i="19"/>
  <c r="I52" i="19"/>
  <c r="J52" i="19"/>
  <c r="K52" i="19"/>
  <c r="L52" i="19"/>
  <c r="L57" i="19"/>
  <c r="M52" i="19"/>
  <c r="M57" i="19"/>
  <c r="N52" i="19"/>
  <c r="N57" i="19"/>
  <c r="B1" i="20"/>
  <c r="E8" i="20"/>
  <c r="F8" i="20"/>
  <c r="G8" i="20"/>
  <c r="H8" i="20"/>
  <c r="I8" i="20"/>
  <c r="J8" i="20"/>
  <c r="K8" i="20"/>
  <c r="L8" i="20"/>
  <c r="L50" i="20"/>
  <c r="L55" i="20"/>
  <c r="M8" i="20"/>
  <c r="N8" i="20"/>
  <c r="E19" i="20"/>
  <c r="F19" i="20"/>
  <c r="G19" i="20"/>
  <c r="H19" i="20"/>
  <c r="I19" i="20"/>
  <c r="J19" i="20"/>
  <c r="K19" i="20"/>
  <c r="L19" i="20"/>
  <c r="M19" i="20"/>
  <c r="N19" i="20"/>
  <c r="N57" i="20"/>
  <c r="E30" i="20"/>
  <c r="F30" i="20"/>
  <c r="G30" i="20"/>
  <c r="H30" i="20"/>
  <c r="I30" i="20"/>
  <c r="J30" i="20"/>
  <c r="K30" i="20"/>
  <c r="K50" i="20"/>
  <c r="K55" i="20"/>
  <c r="L30" i="20"/>
  <c r="M30" i="20"/>
  <c r="N30" i="20"/>
  <c r="E40" i="20"/>
  <c r="F40" i="20"/>
  <c r="F57" i="20"/>
  <c r="G40" i="20"/>
  <c r="H40" i="20"/>
  <c r="I40" i="20"/>
  <c r="J40" i="20"/>
  <c r="K40" i="20"/>
  <c r="L40" i="20"/>
  <c r="M40" i="20"/>
  <c r="N40" i="20"/>
  <c r="E52" i="20"/>
  <c r="E57" i="20"/>
  <c r="F52" i="20"/>
  <c r="G52" i="20"/>
  <c r="H52" i="20"/>
  <c r="I52" i="20"/>
  <c r="J52" i="20"/>
  <c r="K52" i="20"/>
  <c r="L52" i="20"/>
  <c r="L57" i="20"/>
  <c r="M52" i="20"/>
  <c r="M57" i="20"/>
  <c r="N52" i="20"/>
  <c r="K57" i="20"/>
  <c r="B1" i="21"/>
  <c r="E8" i="21"/>
  <c r="F8" i="21"/>
  <c r="G8" i="21"/>
  <c r="H8" i="21"/>
  <c r="I8" i="21"/>
  <c r="J8" i="21"/>
  <c r="K8" i="21"/>
  <c r="K50" i="21"/>
  <c r="K55" i="21"/>
  <c r="L8" i="21"/>
  <c r="M8" i="21"/>
  <c r="N8" i="21"/>
  <c r="E19" i="21"/>
  <c r="F19" i="21"/>
  <c r="F57" i="21"/>
  <c r="G19" i="21"/>
  <c r="H19" i="21"/>
  <c r="I19" i="21"/>
  <c r="J19" i="21"/>
  <c r="J50" i="21"/>
  <c r="J55" i="21"/>
  <c r="K19" i="21"/>
  <c r="L19" i="21"/>
  <c r="M19" i="21"/>
  <c r="N19" i="21"/>
  <c r="N50" i="21"/>
  <c r="N55" i="21"/>
  <c r="E30" i="21"/>
  <c r="F30" i="21"/>
  <c r="G30" i="21"/>
  <c r="H30" i="21"/>
  <c r="I30" i="21"/>
  <c r="J30" i="21"/>
  <c r="K30" i="21"/>
  <c r="L30" i="21"/>
  <c r="M30" i="21"/>
  <c r="N30" i="21"/>
  <c r="E40" i="21"/>
  <c r="F40" i="21"/>
  <c r="G40" i="21"/>
  <c r="H40" i="21"/>
  <c r="I40" i="21"/>
  <c r="J40" i="21"/>
  <c r="K40" i="21"/>
  <c r="L40" i="21"/>
  <c r="M40" i="21"/>
  <c r="N40" i="21"/>
  <c r="E52" i="21"/>
  <c r="E57" i="21"/>
  <c r="F52" i="21"/>
  <c r="G52" i="21"/>
  <c r="H52" i="21"/>
  <c r="I52" i="21"/>
  <c r="J52" i="21"/>
  <c r="J57" i="21"/>
  <c r="K52" i="21"/>
  <c r="K57" i="21"/>
  <c r="L52" i="21"/>
  <c r="L57" i="21"/>
  <c r="M52" i="21"/>
  <c r="N52" i="21"/>
  <c r="M57" i="21"/>
  <c r="N57" i="21"/>
  <c r="B1" i="22"/>
  <c r="E8" i="22"/>
  <c r="F8" i="22"/>
  <c r="G8" i="22"/>
  <c r="H8" i="22"/>
  <c r="I8" i="22"/>
  <c r="I55" i="22"/>
  <c r="J8" i="22"/>
  <c r="J50" i="22"/>
  <c r="J55" i="22"/>
  <c r="K8" i="22"/>
  <c r="L8" i="22"/>
  <c r="M8" i="22"/>
  <c r="N8" i="22"/>
  <c r="E19" i="22"/>
  <c r="F19" i="22"/>
  <c r="G19" i="22"/>
  <c r="H19" i="22"/>
  <c r="I19" i="22"/>
  <c r="J19" i="22"/>
  <c r="K19" i="22"/>
  <c r="L19" i="22"/>
  <c r="M19" i="22"/>
  <c r="M50" i="22"/>
  <c r="M55" i="22"/>
  <c r="N19" i="22"/>
  <c r="E30" i="22"/>
  <c r="F30" i="22"/>
  <c r="G30" i="22"/>
  <c r="H30" i="22"/>
  <c r="I30" i="22"/>
  <c r="I50" i="22"/>
  <c r="J30" i="22"/>
  <c r="K30" i="22"/>
  <c r="L30" i="22"/>
  <c r="M30" i="22"/>
  <c r="N30" i="22"/>
  <c r="E40" i="22"/>
  <c r="F40" i="22"/>
  <c r="G40" i="22"/>
  <c r="H40" i="22"/>
  <c r="I40" i="22"/>
  <c r="J40" i="22"/>
  <c r="K40" i="22"/>
  <c r="L40" i="22"/>
  <c r="M40" i="22"/>
  <c r="N40" i="22"/>
  <c r="E52" i="22"/>
  <c r="F52" i="22"/>
  <c r="G52" i="22"/>
  <c r="H52" i="22"/>
  <c r="I52" i="22"/>
  <c r="J52" i="22"/>
  <c r="K52" i="22"/>
  <c r="L52" i="22"/>
  <c r="M52" i="22"/>
  <c r="N52" i="22"/>
  <c r="I57" i="22"/>
  <c r="J57" i="22"/>
  <c r="K57" i="22"/>
  <c r="M57" i="22"/>
  <c r="B1" i="23"/>
  <c r="E8" i="23"/>
  <c r="F8" i="23"/>
  <c r="G8" i="23"/>
  <c r="H8" i="23"/>
  <c r="I8" i="23"/>
  <c r="I50" i="23"/>
  <c r="I55" i="23"/>
  <c r="J8" i="23"/>
  <c r="K8" i="23"/>
  <c r="L8" i="23"/>
  <c r="M8" i="23"/>
  <c r="N8" i="23"/>
  <c r="E19" i="23"/>
  <c r="F19" i="23"/>
  <c r="G19" i="23"/>
  <c r="H19" i="23"/>
  <c r="H50" i="23"/>
  <c r="H55" i="23"/>
  <c r="I19" i="23"/>
  <c r="J19" i="23"/>
  <c r="K19" i="23"/>
  <c r="L19" i="23"/>
  <c r="L50" i="23"/>
  <c r="L55" i="23"/>
  <c r="M19" i="23"/>
  <c r="N19" i="23"/>
  <c r="E30" i="23"/>
  <c r="F30" i="23"/>
  <c r="G30" i="23"/>
  <c r="H30" i="23"/>
  <c r="I30" i="23"/>
  <c r="J30" i="23"/>
  <c r="K30" i="23"/>
  <c r="L30" i="23"/>
  <c r="M30" i="23"/>
  <c r="N30" i="23"/>
  <c r="E40" i="23"/>
  <c r="F40" i="23"/>
  <c r="G40" i="23"/>
  <c r="H40" i="23"/>
  <c r="H57" i="23"/>
  <c r="I40" i="23"/>
  <c r="J40" i="23"/>
  <c r="K40" i="23"/>
  <c r="L40" i="23"/>
  <c r="M40" i="23"/>
  <c r="N40" i="23"/>
  <c r="E52" i="23"/>
  <c r="F52" i="23"/>
  <c r="G52" i="23"/>
  <c r="H52" i="23"/>
  <c r="I52" i="23"/>
  <c r="J52" i="23"/>
  <c r="J57" i="23"/>
  <c r="K52" i="23"/>
  <c r="L52" i="23"/>
  <c r="L57" i="23"/>
  <c r="M52" i="23"/>
  <c r="N52" i="23"/>
  <c r="I57" i="23"/>
  <c r="B1" i="24"/>
  <c r="E8" i="24"/>
  <c r="F8" i="24"/>
  <c r="G8" i="24"/>
  <c r="H8" i="24"/>
  <c r="I8" i="24"/>
  <c r="J8" i="24"/>
  <c r="K8" i="24"/>
  <c r="L8" i="24"/>
  <c r="M8" i="24"/>
  <c r="N8" i="24"/>
  <c r="E19" i="24"/>
  <c r="F19" i="24"/>
  <c r="G19" i="24"/>
  <c r="G50" i="24"/>
  <c r="G55" i="24"/>
  <c r="H19" i="24"/>
  <c r="I19" i="24"/>
  <c r="J19" i="24"/>
  <c r="K19" i="24"/>
  <c r="L19" i="24"/>
  <c r="M19" i="24"/>
  <c r="N19" i="24"/>
  <c r="E30" i="24"/>
  <c r="F30" i="24"/>
  <c r="G30" i="24"/>
  <c r="H30" i="24"/>
  <c r="I30" i="24"/>
  <c r="J30" i="24"/>
  <c r="K30" i="24"/>
  <c r="K50" i="24"/>
  <c r="K55" i="24"/>
  <c r="L30" i="24"/>
  <c r="M30" i="24"/>
  <c r="N30" i="24"/>
  <c r="E40" i="24"/>
  <c r="F40" i="24"/>
  <c r="G40" i="24"/>
  <c r="H40" i="24"/>
  <c r="I40" i="24"/>
  <c r="I57" i="24"/>
  <c r="J40" i="24"/>
  <c r="K40" i="24"/>
  <c r="L40" i="24"/>
  <c r="M40" i="24"/>
  <c r="N40" i="24"/>
  <c r="E52" i="24"/>
  <c r="F52" i="24"/>
  <c r="G52" i="24"/>
  <c r="H52" i="24"/>
  <c r="I52" i="24"/>
  <c r="J52" i="24"/>
  <c r="K52" i="24"/>
  <c r="L52" i="24"/>
  <c r="M52" i="24"/>
  <c r="N52" i="24"/>
  <c r="J57" i="24"/>
  <c r="K57" i="24"/>
  <c r="B1" i="25"/>
  <c r="E8" i="25"/>
  <c r="F8" i="25"/>
  <c r="F50" i="25"/>
  <c r="F55" i="25"/>
  <c r="G8" i="25"/>
  <c r="H8" i="25"/>
  <c r="I8" i="25"/>
  <c r="J8" i="25"/>
  <c r="K8" i="25"/>
  <c r="L8" i="25"/>
  <c r="M8" i="25"/>
  <c r="N8" i="25"/>
  <c r="N50" i="25"/>
  <c r="N55" i="25"/>
  <c r="E19" i="25"/>
  <c r="F19" i="25"/>
  <c r="G19" i="25"/>
  <c r="H19" i="25"/>
  <c r="H50" i="25"/>
  <c r="H55" i="25"/>
  <c r="I19" i="25"/>
  <c r="J19" i="25"/>
  <c r="J50" i="25"/>
  <c r="J55" i="25"/>
  <c r="K19" i="25"/>
  <c r="L19" i="25"/>
  <c r="M19" i="25"/>
  <c r="N19" i="25"/>
  <c r="E30" i="25"/>
  <c r="F30" i="25"/>
  <c r="G30" i="25"/>
  <c r="G50" i="25"/>
  <c r="G55" i="25"/>
  <c r="H30" i="25"/>
  <c r="I30" i="25"/>
  <c r="J30" i="25"/>
  <c r="K30" i="25"/>
  <c r="L30" i="25"/>
  <c r="M30" i="25"/>
  <c r="N30" i="25"/>
  <c r="E40" i="25"/>
  <c r="F40" i="25"/>
  <c r="G40" i="25"/>
  <c r="H40" i="25"/>
  <c r="I40" i="25"/>
  <c r="J40" i="25"/>
  <c r="K40" i="25"/>
  <c r="L40" i="25"/>
  <c r="M40" i="25"/>
  <c r="N40" i="25"/>
  <c r="E52" i="25"/>
  <c r="F52" i="25"/>
  <c r="G52" i="25"/>
  <c r="H52" i="25"/>
  <c r="H57" i="25"/>
  <c r="I52" i="25"/>
  <c r="J52" i="25"/>
  <c r="K52" i="25"/>
  <c r="L52" i="25"/>
  <c r="M52" i="25"/>
  <c r="N52" i="25"/>
  <c r="F57" i="25"/>
  <c r="G57" i="25"/>
  <c r="N57" i="25"/>
  <c r="B1" i="26"/>
  <c r="E8" i="26"/>
  <c r="F8" i="26"/>
  <c r="G8" i="26"/>
  <c r="H8" i="26"/>
  <c r="H50" i="26"/>
  <c r="H55" i="26"/>
  <c r="I8" i="26"/>
  <c r="J8" i="26"/>
  <c r="K8" i="26"/>
  <c r="L8" i="26"/>
  <c r="M8" i="26"/>
  <c r="N8" i="26"/>
  <c r="E19" i="26"/>
  <c r="E50" i="26"/>
  <c r="E55" i="26"/>
  <c r="F19" i="26"/>
  <c r="F50" i="26"/>
  <c r="F55" i="26"/>
  <c r="G19" i="26"/>
  <c r="H19" i="26"/>
  <c r="I19" i="26"/>
  <c r="J19" i="26"/>
  <c r="K19" i="26"/>
  <c r="L19" i="26"/>
  <c r="M19" i="26"/>
  <c r="M57" i="26"/>
  <c r="N19" i="26"/>
  <c r="N57" i="26"/>
  <c r="E30" i="26"/>
  <c r="F30" i="26"/>
  <c r="G30" i="26"/>
  <c r="H30" i="26"/>
  <c r="I30" i="26"/>
  <c r="I50" i="26"/>
  <c r="I55" i="26"/>
  <c r="J30" i="26"/>
  <c r="K30" i="26"/>
  <c r="L30" i="26"/>
  <c r="M30" i="26"/>
  <c r="N30" i="26"/>
  <c r="E40" i="26"/>
  <c r="F40" i="26"/>
  <c r="G40" i="26"/>
  <c r="G50" i="26"/>
  <c r="G55" i="26"/>
  <c r="H40" i="26"/>
  <c r="I40" i="26"/>
  <c r="J40" i="26"/>
  <c r="K40" i="26"/>
  <c r="L40" i="26"/>
  <c r="L50" i="26"/>
  <c r="M40" i="26"/>
  <c r="N40" i="26"/>
  <c r="M50" i="26"/>
  <c r="M55" i="26"/>
  <c r="E52" i="26"/>
  <c r="F52" i="26"/>
  <c r="G52" i="26"/>
  <c r="H52" i="26"/>
  <c r="H57" i="26"/>
  <c r="I52" i="26"/>
  <c r="I57" i="26"/>
  <c r="J52" i="26"/>
  <c r="K52" i="26"/>
  <c r="L52" i="26"/>
  <c r="M52" i="26"/>
  <c r="N52" i="26"/>
  <c r="F57" i="26"/>
  <c r="G57" i="26"/>
  <c r="B1" i="27"/>
  <c r="E8" i="27"/>
  <c r="F8" i="27"/>
  <c r="G8" i="27"/>
  <c r="G50" i="27"/>
  <c r="H8" i="27"/>
  <c r="I8" i="27"/>
  <c r="J8" i="27"/>
  <c r="K8" i="27"/>
  <c r="L8" i="27"/>
  <c r="M8" i="27"/>
  <c r="N8" i="27"/>
  <c r="N50" i="27"/>
  <c r="N55" i="27"/>
  <c r="E19" i="27"/>
  <c r="F19" i="27"/>
  <c r="G19" i="27"/>
  <c r="H19" i="27"/>
  <c r="I19" i="27"/>
  <c r="J19" i="27"/>
  <c r="K19" i="27"/>
  <c r="K50" i="27"/>
  <c r="K55" i="27"/>
  <c r="L19" i="27"/>
  <c r="M19" i="27"/>
  <c r="N19" i="27"/>
  <c r="E30" i="27"/>
  <c r="F30" i="27"/>
  <c r="G30" i="27"/>
  <c r="H30" i="27"/>
  <c r="H50" i="27"/>
  <c r="I30" i="27"/>
  <c r="J30" i="27"/>
  <c r="K30" i="27"/>
  <c r="L30" i="27"/>
  <c r="M30" i="27"/>
  <c r="N30" i="27"/>
  <c r="E40" i="27"/>
  <c r="F40" i="27"/>
  <c r="F50" i="27"/>
  <c r="F55" i="27"/>
  <c r="G40" i="27"/>
  <c r="H40" i="27"/>
  <c r="I40" i="27"/>
  <c r="J40" i="27"/>
  <c r="K40" i="27"/>
  <c r="L40" i="27"/>
  <c r="M40" i="27"/>
  <c r="N40" i="27"/>
  <c r="E52" i="27"/>
  <c r="F52" i="27"/>
  <c r="G52" i="27"/>
  <c r="G57" i="27"/>
  <c r="H52" i="27"/>
  <c r="H57" i="27"/>
  <c r="I52" i="27"/>
  <c r="J52" i="27"/>
  <c r="K52" i="27"/>
  <c r="L52" i="27"/>
  <c r="M52" i="27"/>
  <c r="N52" i="27"/>
  <c r="H55" i="27"/>
  <c r="E57" i="27"/>
  <c r="N57" i="27"/>
  <c r="B1" i="28"/>
  <c r="E8" i="28"/>
  <c r="F8" i="28"/>
  <c r="F50" i="28"/>
  <c r="G8" i="28"/>
  <c r="H8" i="28"/>
  <c r="I8" i="28"/>
  <c r="J8" i="28"/>
  <c r="K8" i="28"/>
  <c r="L8" i="28"/>
  <c r="M8" i="28"/>
  <c r="M50" i="28"/>
  <c r="M55" i="28"/>
  <c r="N8" i="28"/>
  <c r="E19" i="28"/>
  <c r="F19" i="28"/>
  <c r="G19" i="28"/>
  <c r="H19" i="28"/>
  <c r="I19" i="28"/>
  <c r="J19" i="28"/>
  <c r="K19" i="28"/>
  <c r="K57" i="28"/>
  <c r="L19" i="28"/>
  <c r="M19" i="28"/>
  <c r="N19" i="28"/>
  <c r="E30" i="28"/>
  <c r="F30" i="28"/>
  <c r="G30" i="28"/>
  <c r="G50" i="28"/>
  <c r="H30" i="28"/>
  <c r="I30" i="28"/>
  <c r="J30" i="28"/>
  <c r="K30" i="28"/>
  <c r="L30" i="28"/>
  <c r="M30" i="28"/>
  <c r="N30" i="28"/>
  <c r="E40" i="28"/>
  <c r="E50" i="28"/>
  <c r="E55" i="28"/>
  <c r="F40" i="28"/>
  <c r="G40" i="28"/>
  <c r="H40" i="28"/>
  <c r="I40" i="28"/>
  <c r="J40" i="28"/>
  <c r="J50" i="28"/>
  <c r="J55" i="28"/>
  <c r="K40" i="28"/>
  <c r="L40" i="28"/>
  <c r="M40" i="28"/>
  <c r="N40" i="28"/>
  <c r="N50" i="28"/>
  <c r="N55" i="28"/>
  <c r="K50" i="28"/>
  <c r="K55" i="28"/>
  <c r="L50" i="28"/>
  <c r="L55" i="28"/>
  <c r="E52" i="28"/>
  <c r="F52" i="28"/>
  <c r="F57" i="28"/>
  <c r="G52" i="28"/>
  <c r="G57" i="28"/>
  <c r="H52" i="28"/>
  <c r="I52" i="28"/>
  <c r="J52" i="28"/>
  <c r="K52" i="28"/>
  <c r="L52" i="28"/>
  <c r="M52" i="28"/>
  <c r="N52" i="28"/>
  <c r="G55" i="28"/>
  <c r="E57" i="28"/>
  <c r="L57" i="28"/>
  <c r="M57" i="28"/>
  <c r="N57" i="28"/>
  <c r="B1" i="29"/>
  <c r="E8" i="29"/>
  <c r="E50" i="29"/>
  <c r="E55" i="29"/>
  <c r="F8" i="29"/>
  <c r="G8" i="29"/>
  <c r="H8" i="29"/>
  <c r="I8" i="29"/>
  <c r="J8" i="29"/>
  <c r="J50" i="29"/>
  <c r="J55" i="29"/>
  <c r="K8" i="29"/>
  <c r="L8" i="29"/>
  <c r="M8" i="29"/>
  <c r="N8" i="29"/>
  <c r="E19" i="29"/>
  <c r="F19" i="29"/>
  <c r="F57" i="29"/>
  <c r="G19" i="29"/>
  <c r="H19" i="29"/>
  <c r="I19" i="29"/>
  <c r="J19" i="29"/>
  <c r="K19" i="29"/>
  <c r="K50" i="29"/>
  <c r="K55" i="29"/>
  <c r="L19" i="29"/>
  <c r="M19" i="29"/>
  <c r="N19" i="29"/>
  <c r="N50" i="29"/>
  <c r="N55" i="29"/>
  <c r="E30" i="29"/>
  <c r="F30" i="29"/>
  <c r="F50" i="29"/>
  <c r="F55" i="29"/>
  <c r="G30" i="29"/>
  <c r="H30" i="29"/>
  <c r="I30" i="29"/>
  <c r="J30" i="29"/>
  <c r="K30" i="29"/>
  <c r="L30" i="29"/>
  <c r="M30" i="29"/>
  <c r="N30" i="29"/>
  <c r="E40" i="29"/>
  <c r="F40" i="29"/>
  <c r="G40" i="29"/>
  <c r="H40" i="29"/>
  <c r="I40" i="29"/>
  <c r="J40" i="29"/>
  <c r="K40" i="29"/>
  <c r="L40" i="29"/>
  <c r="L50" i="29"/>
  <c r="L55" i="29"/>
  <c r="M40" i="29"/>
  <c r="M50" i="29"/>
  <c r="N40" i="29"/>
  <c r="E52" i="29"/>
  <c r="F52" i="29"/>
  <c r="G52" i="29"/>
  <c r="H52" i="29"/>
  <c r="H57" i="29"/>
  <c r="I52" i="29"/>
  <c r="J52" i="29"/>
  <c r="K52" i="29"/>
  <c r="L52" i="29"/>
  <c r="M52" i="29"/>
  <c r="N52" i="29"/>
  <c r="M55" i="29"/>
  <c r="J57" i="29"/>
  <c r="K57" i="29"/>
  <c r="L57" i="29"/>
  <c r="M57" i="29"/>
  <c r="B1" i="15"/>
  <c r="E8" i="15"/>
  <c r="F8" i="15"/>
  <c r="G8" i="15"/>
  <c r="H8" i="15"/>
  <c r="I8" i="15"/>
  <c r="J8" i="15"/>
  <c r="K8" i="15"/>
  <c r="L8" i="15"/>
  <c r="M8" i="15"/>
  <c r="M50" i="15"/>
  <c r="M55" i="15"/>
  <c r="N8" i="15"/>
  <c r="E19" i="15"/>
  <c r="F19" i="15"/>
  <c r="G19" i="15"/>
  <c r="H19" i="15"/>
  <c r="I19" i="15"/>
  <c r="J19" i="15"/>
  <c r="J50" i="15"/>
  <c r="J55" i="15"/>
  <c r="K19" i="15"/>
  <c r="K57" i="15"/>
  <c r="L19" i="15"/>
  <c r="L57" i="15"/>
  <c r="M19" i="15"/>
  <c r="N19" i="15"/>
  <c r="E30" i="15"/>
  <c r="F30" i="15"/>
  <c r="G30" i="15"/>
  <c r="H30" i="15"/>
  <c r="I30" i="15"/>
  <c r="I50" i="15"/>
  <c r="I55" i="15"/>
  <c r="J30" i="15"/>
  <c r="K30" i="15"/>
  <c r="K50" i="15"/>
  <c r="K55" i="15"/>
  <c r="L30" i="15"/>
  <c r="M30" i="15"/>
  <c r="N30" i="15"/>
  <c r="E40" i="15"/>
  <c r="E50" i="15"/>
  <c r="E55" i="15"/>
  <c r="F40" i="15"/>
  <c r="G40" i="15"/>
  <c r="H40" i="15"/>
  <c r="I40" i="15"/>
  <c r="J40" i="15"/>
  <c r="K40" i="15"/>
  <c r="L40" i="15"/>
  <c r="L50" i="15"/>
  <c r="L55" i="15"/>
  <c r="M40" i="15"/>
  <c r="N40" i="15"/>
  <c r="E52" i="15"/>
  <c r="F52" i="15"/>
  <c r="G52" i="15"/>
  <c r="H52" i="15"/>
  <c r="I52" i="15"/>
  <c r="J52" i="15"/>
  <c r="J57" i="15"/>
  <c r="K52" i="15"/>
  <c r="L52" i="15"/>
  <c r="M52" i="15"/>
  <c r="N52" i="15"/>
  <c r="I57" i="15"/>
  <c r="M57" i="15"/>
  <c r="B1" i="16"/>
  <c r="E8" i="16"/>
  <c r="F8" i="16"/>
  <c r="G8" i="16"/>
  <c r="G50" i="16"/>
  <c r="G55" i="16"/>
  <c r="H8" i="16"/>
  <c r="I8" i="16"/>
  <c r="J8" i="16"/>
  <c r="K8" i="16"/>
  <c r="K50" i="16"/>
  <c r="K55" i="16"/>
  <c r="L8" i="16"/>
  <c r="M8" i="16"/>
  <c r="N8" i="16"/>
  <c r="E19" i="16"/>
  <c r="F19" i="16"/>
  <c r="G19" i="16"/>
  <c r="H19" i="16"/>
  <c r="H50" i="16"/>
  <c r="H55" i="16"/>
  <c r="I19" i="16"/>
  <c r="J19" i="16"/>
  <c r="K19" i="16"/>
  <c r="L19" i="16"/>
  <c r="M19" i="16"/>
  <c r="N19" i="16"/>
  <c r="E30" i="16"/>
  <c r="F30" i="16"/>
  <c r="G30" i="16"/>
  <c r="H30" i="16"/>
  <c r="I30" i="16"/>
  <c r="J30" i="16"/>
  <c r="K30" i="16"/>
  <c r="L30" i="16"/>
  <c r="L50" i="16"/>
  <c r="L55" i="16"/>
  <c r="M30" i="16"/>
  <c r="M50" i="16"/>
  <c r="M55" i="16"/>
  <c r="N30" i="16"/>
  <c r="E40" i="16"/>
  <c r="F40" i="16"/>
  <c r="G40" i="16"/>
  <c r="H40" i="16"/>
  <c r="H57" i="16"/>
  <c r="I40" i="16"/>
  <c r="J40" i="16"/>
  <c r="J50" i="16"/>
  <c r="J55" i="16"/>
  <c r="K40" i="16"/>
  <c r="L40" i="16"/>
  <c r="M40" i="16"/>
  <c r="N40" i="16"/>
  <c r="E52" i="16"/>
  <c r="F52" i="16"/>
  <c r="F57" i="16"/>
  <c r="G52" i="16"/>
  <c r="H52" i="16"/>
  <c r="I52" i="16"/>
  <c r="J52" i="16"/>
  <c r="K52" i="16"/>
  <c r="L52" i="16"/>
  <c r="M52" i="16"/>
  <c r="N52" i="16"/>
  <c r="N57" i="16"/>
  <c r="J57" i="16"/>
  <c r="K57" i="16"/>
  <c r="L57" i="16"/>
  <c r="B1" i="17"/>
  <c r="E8" i="17"/>
  <c r="F8" i="17"/>
  <c r="G8" i="17"/>
  <c r="H8" i="17"/>
  <c r="I8" i="17"/>
  <c r="I50" i="17"/>
  <c r="I55" i="17"/>
  <c r="J8" i="17"/>
  <c r="K8" i="17"/>
  <c r="L8" i="17"/>
  <c r="M8" i="17"/>
  <c r="N8" i="17"/>
  <c r="E19" i="17"/>
  <c r="F19" i="17"/>
  <c r="G19" i="17"/>
  <c r="H19" i="17"/>
  <c r="I19" i="17"/>
  <c r="J19" i="17"/>
  <c r="K19" i="17"/>
  <c r="L19" i="17"/>
  <c r="M19" i="17"/>
  <c r="N19" i="17"/>
  <c r="E30" i="17"/>
  <c r="F30" i="17"/>
  <c r="G30" i="17"/>
  <c r="H30" i="17"/>
  <c r="I30" i="17"/>
  <c r="J30" i="17"/>
  <c r="K30" i="17"/>
  <c r="L30" i="17"/>
  <c r="L50" i="17"/>
  <c r="L55" i="17"/>
  <c r="M30" i="17"/>
  <c r="N30" i="17"/>
  <c r="E40" i="17"/>
  <c r="F40" i="17"/>
  <c r="G40" i="17"/>
  <c r="H40" i="17"/>
  <c r="H50" i="17"/>
  <c r="H55" i="17"/>
  <c r="I40" i="17"/>
  <c r="J40" i="17"/>
  <c r="J50" i="17"/>
  <c r="J55" i="17"/>
  <c r="K40" i="17"/>
  <c r="K50" i="17"/>
  <c r="K55" i="17"/>
  <c r="L40" i="17"/>
  <c r="M40" i="17"/>
  <c r="N40" i="17"/>
  <c r="N50" i="17"/>
  <c r="N55" i="17"/>
  <c r="E52" i="17"/>
  <c r="F52" i="17"/>
  <c r="G52" i="17"/>
  <c r="H52" i="17"/>
  <c r="I52" i="17"/>
  <c r="I57" i="17"/>
  <c r="J52" i="17"/>
  <c r="K52" i="17"/>
  <c r="L52" i="17"/>
  <c r="L57" i="17"/>
  <c r="M52" i="17"/>
  <c r="N52" i="17"/>
  <c r="H57" i="17"/>
  <c r="J57" i="17"/>
  <c r="K57" i="17"/>
  <c r="B1" i="18"/>
  <c r="E8" i="18"/>
  <c r="F8" i="18"/>
  <c r="G8" i="18"/>
  <c r="H8" i="18"/>
  <c r="I8" i="18"/>
  <c r="J8" i="18"/>
  <c r="J50" i="18"/>
  <c r="J55" i="18"/>
  <c r="K8" i="18"/>
  <c r="L8" i="18"/>
  <c r="M8" i="18"/>
  <c r="N8" i="18"/>
  <c r="N50" i="18"/>
  <c r="N55" i="18"/>
  <c r="E19" i="18"/>
  <c r="F19" i="18"/>
  <c r="G19" i="18"/>
  <c r="H19" i="18"/>
  <c r="I19" i="18"/>
  <c r="J19" i="18"/>
  <c r="K19" i="18"/>
  <c r="L19" i="18"/>
  <c r="L50" i="18"/>
  <c r="M19" i="18"/>
  <c r="M50" i="18"/>
  <c r="M55" i="18"/>
  <c r="N19" i="18"/>
  <c r="E30" i="18"/>
  <c r="F30" i="18"/>
  <c r="G30" i="18"/>
  <c r="G50" i="18"/>
  <c r="G55" i="18"/>
  <c r="H30" i="18"/>
  <c r="I30" i="18"/>
  <c r="I50" i="18"/>
  <c r="I55" i="18"/>
  <c r="J30" i="18"/>
  <c r="K30" i="18"/>
  <c r="L30" i="18"/>
  <c r="M30" i="18"/>
  <c r="N30" i="18"/>
  <c r="E40" i="18"/>
  <c r="F40" i="18"/>
  <c r="F50" i="18"/>
  <c r="F55" i="18"/>
  <c r="G40" i="18"/>
  <c r="H40" i="18"/>
  <c r="H50" i="18"/>
  <c r="I40" i="18"/>
  <c r="J40" i="18"/>
  <c r="K40" i="18"/>
  <c r="L40" i="18"/>
  <c r="M40" i="18"/>
  <c r="N40" i="18"/>
  <c r="E50" i="18"/>
  <c r="E52" i="18"/>
  <c r="E55" i="18"/>
  <c r="F52" i="18"/>
  <c r="G52" i="18"/>
  <c r="G57" i="18"/>
  <c r="H52" i="18"/>
  <c r="I52" i="18"/>
  <c r="I57" i="18"/>
  <c r="J52" i="18"/>
  <c r="J57" i="18"/>
  <c r="K52" i="18"/>
  <c r="L52" i="18"/>
  <c r="L57" i="18"/>
  <c r="M52" i="18"/>
  <c r="M57" i="18"/>
  <c r="N52" i="18"/>
  <c r="N57" i="18"/>
  <c r="J7" i="2"/>
  <c r="J39" i="2"/>
  <c r="J29" i="2"/>
  <c r="G39" i="2"/>
  <c r="G7" i="2"/>
  <c r="G29" i="2"/>
  <c r="H39" i="2"/>
  <c r="H7" i="2"/>
  <c r="H29" i="2"/>
  <c r="I7" i="2"/>
  <c r="I39" i="2"/>
  <c r="I29" i="2"/>
  <c r="K7" i="2"/>
  <c r="L18" i="2"/>
  <c r="L49" i="2"/>
  <c r="L54" i="2"/>
  <c r="L7" i="2"/>
  <c r="L39" i="2"/>
  <c r="L29" i="2"/>
  <c r="L51" i="2"/>
  <c r="L56" i="2"/>
  <c r="M18" i="2"/>
  <c r="M7" i="2"/>
  <c r="M39" i="2"/>
  <c r="M29" i="2"/>
  <c r="M51" i="2"/>
  <c r="N18" i="2"/>
  <c r="N49" i="2"/>
  <c r="N54" i="2"/>
  <c r="N7" i="2"/>
  <c r="N39" i="2"/>
  <c r="N29" i="2"/>
  <c r="N51" i="2"/>
  <c r="N56" i="2"/>
  <c r="F18" i="2"/>
  <c r="E18" i="2"/>
  <c r="F7" i="2"/>
  <c r="E7" i="2"/>
  <c r="F39" i="2"/>
  <c r="E39" i="2"/>
  <c r="F51" i="2"/>
  <c r="E51" i="2"/>
  <c r="E56" i="2"/>
  <c r="F29" i="2"/>
  <c r="E29" i="2"/>
  <c r="E49" i="2"/>
  <c r="B1" i="37"/>
  <c r="E8" i="37"/>
  <c r="F8" i="37"/>
  <c r="G8" i="37"/>
  <c r="H8" i="37"/>
  <c r="I8" i="37"/>
  <c r="J8" i="37"/>
  <c r="K8" i="37"/>
  <c r="L8" i="37"/>
  <c r="M8" i="37"/>
  <c r="M50" i="37"/>
  <c r="M55" i="37"/>
  <c r="N8" i="37"/>
  <c r="E19" i="37"/>
  <c r="F19" i="37"/>
  <c r="G19" i="37"/>
  <c r="G57" i="37"/>
  <c r="H19" i="37"/>
  <c r="I19" i="37"/>
  <c r="J19" i="37"/>
  <c r="K19" i="37"/>
  <c r="L19" i="37"/>
  <c r="L50" i="37"/>
  <c r="L55" i="37"/>
  <c r="M19" i="37"/>
  <c r="N19" i="37"/>
  <c r="E30" i="37"/>
  <c r="F30" i="37"/>
  <c r="G30" i="37"/>
  <c r="H30" i="37"/>
  <c r="I30" i="37"/>
  <c r="J30" i="37"/>
  <c r="K30" i="37"/>
  <c r="L30" i="37"/>
  <c r="M30" i="37"/>
  <c r="N30" i="37"/>
  <c r="E40" i="37"/>
  <c r="F40" i="37"/>
  <c r="G40" i="37"/>
  <c r="H40" i="37"/>
  <c r="I40" i="37"/>
  <c r="J40" i="37"/>
  <c r="K40" i="37"/>
  <c r="L40" i="37"/>
  <c r="L57" i="37"/>
  <c r="M40" i="37"/>
  <c r="N40" i="37"/>
  <c r="J50" i="37"/>
  <c r="J55" i="37"/>
  <c r="K50" i="37"/>
  <c r="K55" i="37"/>
  <c r="E52" i="37"/>
  <c r="E57" i="37"/>
  <c r="F52" i="37"/>
  <c r="F57" i="37"/>
  <c r="G52" i="37"/>
  <c r="H52" i="37"/>
  <c r="H57" i="37"/>
  <c r="I52" i="37"/>
  <c r="J52" i="37"/>
  <c r="K52" i="37"/>
  <c r="K57" i="37"/>
  <c r="L52" i="37"/>
  <c r="M52" i="37"/>
  <c r="M57" i="37"/>
  <c r="N52" i="37"/>
  <c r="J57" i="37"/>
  <c r="J48" i="10"/>
  <c r="I48" i="10"/>
  <c r="H48" i="10"/>
  <c r="G48" i="10"/>
  <c r="J47" i="10"/>
  <c r="I47" i="10"/>
  <c r="H47" i="10"/>
  <c r="G47" i="10"/>
  <c r="J46" i="10"/>
  <c r="I46" i="10"/>
  <c r="H46" i="10"/>
  <c r="G46" i="10"/>
  <c r="J45" i="10"/>
  <c r="I45" i="10"/>
  <c r="H45" i="10"/>
  <c r="G45" i="10"/>
  <c r="J44" i="10"/>
  <c r="I44" i="10"/>
  <c r="H44" i="10"/>
  <c r="G44" i="10"/>
  <c r="J43" i="10"/>
  <c r="I43" i="10"/>
  <c r="H43" i="10"/>
  <c r="G43" i="10"/>
  <c r="J42" i="10"/>
  <c r="I42" i="10"/>
  <c r="H42" i="10"/>
  <c r="G42" i="10"/>
  <c r="G40" i="10"/>
  <c r="J41" i="10"/>
  <c r="J40" i="10"/>
  <c r="I41" i="10"/>
  <c r="H41" i="10"/>
  <c r="H40" i="10"/>
  <c r="G41" i="10"/>
  <c r="J39" i="10"/>
  <c r="I39" i="10"/>
  <c r="H39" i="10"/>
  <c r="G39" i="10"/>
  <c r="J38" i="10"/>
  <c r="I38" i="10"/>
  <c r="H38" i="10"/>
  <c r="G38" i="10"/>
  <c r="J37" i="10"/>
  <c r="I37" i="10"/>
  <c r="H37" i="10"/>
  <c r="G37" i="10"/>
  <c r="J36" i="10"/>
  <c r="I36" i="10"/>
  <c r="H36" i="10"/>
  <c r="G36" i="10"/>
  <c r="J35" i="10"/>
  <c r="I35" i="10"/>
  <c r="H35" i="10"/>
  <c r="G35" i="10"/>
  <c r="J34" i="10"/>
  <c r="I34" i="10"/>
  <c r="H34" i="10"/>
  <c r="G34" i="10"/>
  <c r="J33" i="10"/>
  <c r="I33" i="10"/>
  <c r="H33" i="10"/>
  <c r="G33" i="10"/>
  <c r="J32" i="10"/>
  <c r="I32" i="10"/>
  <c r="H32" i="10"/>
  <c r="G32" i="10"/>
  <c r="J31" i="10"/>
  <c r="J30" i="10"/>
  <c r="I31" i="10"/>
  <c r="H31" i="10"/>
  <c r="H30" i="10"/>
  <c r="G31" i="10"/>
  <c r="J27" i="10"/>
  <c r="I27" i="10"/>
  <c r="H27" i="10"/>
  <c r="G27" i="10"/>
  <c r="J25" i="10"/>
  <c r="I25" i="10"/>
  <c r="H25" i="10"/>
  <c r="G25" i="10"/>
  <c r="J24" i="10"/>
  <c r="I24" i="10"/>
  <c r="H24" i="10"/>
  <c r="G24" i="10"/>
  <c r="J23" i="10"/>
  <c r="I23" i="10"/>
  <c r="H23" i="10"/>
  <c r="G23" i="10"/>
  <c r="G10" i="10"/>
  <c r="H10" i="10"/>
  <c r="I10" i="10"/>
  <c r="J10" i="10"/>
  <c r="G11" i="10"/>
  <c r="H11" i="10"/>
  <c r="I11" i="10"/>
  <c r="J11" i="10"/>
  <c r="G12" i="10"/>
  <c r="H12" i="10"/>
  <c r="I12" i="10"/>
  <c r="J12" i="10"/>
  <c r="G13" i="10"/>
  <c r="H13" i="10"/>
  <c r="I13" i="10"/>
  <c r="J13" i="10"/>
  <c r="G14" i="10"/>
  <c r="H14" i="10"/>
  <c r="I14" i="10"/>
  <c r="J14" i="10"/>
  <c r="G15" i="10"/>
  <c r="H15" i="10"/>
  <c r="I15" i="10"/>
  <c r="J15" i="10"/>
  <c r="G16" i="10"/>
  <c r="H16" i="10"/>
  <c r="I16" i="10"/>
  <c r="J16" i="10"/>
  <c r="G17" i="10"/>
  <c r="H17" i="10"/>
  <c r="I17" i="10"/>
  <c r="J17" i="10"/>
  <c r="H9" i="10"/>
  <c r="H8" i="10"/>
  <c r="I9" i="10"/>
  <c r="J9" i="10"/>
  <c r="J8" i="10"/>
  <c r="G9" i="10"/>
  <c r="G8" i="10"/>
  <c r="G30" i="10"/>
  <c r="I30" i="10"/>
  <c r="I40" i="10"/>
  <c r="L19" i="10"/>
  <c r="L8" i="10"/>
  <c r="L40" i="10"/>
  <c r="L30" i="10"/>
  <c r="L50" i="10"/>
  <c r="L52" i="10"/>
  <c r="L55" i="10"/>
  <c r="M19" i="10"/>
  <c r="M8" i="10"/>
  <c r="M40" i="10"/>
  <c r="M30" i="10"/>
  <c r="M50" i="10"/>
  <c r="M55" i="10"/>
  <c r="M52" i="10"/>
  <c r="N19" i="10"/>
  <c r="N8" i="10"/>
  <c r="N40" i="10"/>
  <c r="N30" i="10"/>
  <c r="N52" i="10"/>
  <c r="L57" i="10"/>
  <c r="M57" i="10"/>
  <c r="F19" i="10"/>
  <c r="E19" i="10"/>
  <c r="F8" i="10"/>
  <c r="E8" i="10"/>
  <c r="F40" i="10"/>
  <c r="E40" i="10"/>
  <c r="F52" i="10"/>
  <c r="F57" i="10"/>
  <c r="E52" i="10"/>
  <c r="F30" i="10"/>
  <c r="F50" i="10"/>
  <c r="F55" i="10"/>
  <c r="E30" i="10"/>
  <c r="B1" i="31"/>
  <c r="E8" i="31"/>
  <c r="F8" i="31"/>
  <c r="F50" i="31"/>
  <c r="F55" i="31"/>
  <c r="G8" i="31"/>
  <c r="H8" i="31"/>
  <c r="I8" i="31"/>
  <c r="J8" i="31"/>
  <c r="K8" i="31"/>
  <c r="L8" i="31"/>
  <c r="M8" i="31"/>
  <c r="N8" i="31"/>
  <c r="N50" i="31"/>
  <c r="N55" i="31"/>
  <c r="E19" i="31"/>
  <c r="E57" i="31"/>
  <c r="F19" i="31"/>
  <c r="F57" i="31"/>
  <c r="G19" i="31"/>
  <c r="H19" i="31"/>
  <c r="I19" i="31"/>
  <c r="J19" i="31"/>
  <c r="K19" i="31"/>
  <c r="L19" i="31"/>
  <c r="L50" i="31"/>
  <c r="L55" i="31"/>
  <c r="M19" i="31"/>
  <c r="N19" i="31"/>
  <c r="E30" i="31"/>
  <c r="F30" i="31"/>
  <c r="G30" i="31"/>
  <c r="H30" i="31"/>
  <c r="I30" i="31"/>
  <c r="J30" i="31"/>
  <c r="K30" i="31"/>
  <c r="L30" i="31"/>
  <c r="M30" i="31"/>
  <c r="N30" i="31"/>
  <c r="E40" i="31"/>
  <c r="F40" i="31"/>
  <c r="G40" i="31"/>
  <c r="G50" i="31"/>
  <c r="G55" i="31"/>
  <c r="H40" i="31"/>
  <c r="I40" i="31"/>
  <c r="J40" i="31"/>
  <c r="J50" i="31"/>
  <c r="J55" i="31"/>
  <c r="K40" i="31"/>
  <c r="K50" i="31"/>
  <c r="K55" i="31"/>
  <c r="L40" i="31"/>
  <c r="M40" i="31"/>
  <c r="N40" i="31"/>
  <c r="I50" i="31"/>
  <c r="I55" i="31"/>
  <c r="E52" i="31"/>
  <c r="F52" i="31"/>
  <c r="G52" i="31"/>
  <c r="H52" i="31"/>
  <c r="I52" i="31"/>
  <c r="J52" i="31"/>
  <c r="K52" i="31"/>
  <c r="L52" i="31"/>
  <c r="L57" i="31"/>
  <c r="M52" i="31"/>
  <c r="N52" i="31"/>
  <c r="N57" i="31"/>
  <c r="J57" i="31"/>
  <c r="K57" i="31"/>
  <c r="B1" i="32"/>
  <c r="E8" i="32"/>
  <c r="F8" i="32"/>
  <c r="G8" i="32"/>
  <c r="H8" i="32"/>
  <c r="I8" i="32"/>
  <c r="I50" i="32"/>
  <c r="I55" i="32"/>
  <c r="J8" i="32"/>
  <c r="K8" i="32"/>
  <c r="L8" i="32"/>
  <c r="M8" i="32"/>
  <c r="N8" i="32"/>
  <c r="E19" i="32"/>
  <c r="F19" i="32"/>
  <c r="G19" i="32"/>
  <c r="H19" i="32"/>
  <c r="I19" i="32"/>
  <c r="J19" i="32"/>
  <c r="K19" i="32"/>
  <c r="L19" i="32"/>
  <c r="M19" i="32"/>
  <c r="M57" i="32"/>
  <c r="N19" i="32"/>
  <c r="E30" i="32"/>
  <c r="F30" i="32"/>
  <c r="G30" i="32"/>
  <c r="G50" i="32"/>
  <c r="G55" i="32"/>
  <c r="H30" i="32"/>
  <c r="I30" i="32"/>
  <c r="J30" i="32"/>
  <c r="K30" i="32"/>
  <c r="L30" i="32"/>
  <c r="M30" i="32"/>
  <c r="N30" i="32"/>
  <c r="E40" i="32"/>
  <c r="E57" i="32"/>
  <c r="F40" i="32"/>
  <c r="G40" i="32"/>
  <c r="H40" i="32"/>
  <c r="I40" i="32"/>
  <c r="J40" i="32"/>
  <c r="J50" i="32"/>
  <c r="J55" i="32"/>
  <c r="K40" i="32"/>
  <c r="K50" i="32"/>
  <c r="K55" i="32"/>
  <c r="L40" i="32"/>
  <c r="M40" i="32"/>
  <c r="N40" i="32"/>
  <c r="H50" i="32"/>
  <c r="H55" i="32"/>
  <c r="E52" i="32"/>
  <c r="F52" i="32"/>
  <c r="F57" i="32"/>
  <c r="G52" i="32"/>
  <c r="H52" i="32"/>
  <c r="I52" i="32"/>
  <c r="J52" i="32"/>
  <c r="K52" i="32"/>
  <c r="K57" i="32"/>
  <c r="L52" i="32"/>
  <c r="M52" i="32"/>
  <c r="N52" i="32"/>
  <c r="H57" i="32"/>
  <c r="I57" i="32"/>
  <c r="J57" i="32"/>
  <c r="B1" i="33"/>
  <c r="E8" i="33"/>
  <c r="F8" i="33"/>
  <c r="G8" i="33"/>
  <c r="H8" i="33"/>
  <c r="I8" i="33"/>
  <c r="J8" i="33"/>
  <c r="K8" i="33"/>
  <c r="L8" i="33"/>
  <c r="M8" i="33"/>
  <c r="N8" i="33"/>
  <c r="E19" i="33"/>
  <c r="F19" i="33"/>
  <c r="G19" i="33"/>
  <c r="H19" i="33"/>
  <c r="H50" i="33"/>
  <c r="H55" i="33"/>
  <c r="I19" i="33"/>
  <c r="J19" i="33"/>
  <c r="K19" i="33"/>
  <c r="K57" i="33"/>
  <c r="L19" i="33"/>
  <c r="L57" i="33"/>
  <c r="M19" i="33"/>
  <c r="N19" i="33"/>
  <c r="E30" i="33"/>
  <c r="F30" i="33"/>
  <c r="F50" i="33"/>
  <c r="F55" i="33"/>
  <c r="G30" i="33"/>
  <c r="H30" i="33"/>
  <c r="I30" i="33"/>
  <c r="J30" i="33"/>
  <c r="K30" i="33"/>
  <c r="L30" i="33"/>
  <c r="M30" i="33"/>
  <c r="N30" i="33"/>
  <c r="E40" i="33"/>
  <c r="F40" i="33"/>
  <c r="G40" i="33"/>
  <c r="H40" i="33"/>
  <c r="I40" i="33"/>
  <c r="I50" i="33"/>
  <c r="I55" i="33"/>
  <c r="J40" i="33"/>
  <c r="J50" i="33"/>
  <c r="J55" i="33"/>
  <c r="K40" i="33"/>
  <c r="L40" i="33"/>
  <c r="M40" i="33"/>
  <c r="N40" i="33"/>
  <c r="G50" i="33"/>
  <c r="G55" i="33"/>
  <c r="E52" i="33"/>
  <c r="E57" i="33"/>
  <c r="F52" i="33"/>
  <c r="G52" i="33"/>
  <c r="H52" i="33"/>
  <c r="I52" i="33"/>
  <c r="J52" i="33"/>
  <c r="J57" i="33"/>
  <c r="K52" i="33"/>
  <c r="L52" i="33"/>
  <c r="M52" i="33"/>
  <c r="N52" i="33"/>
  <c r="G57" i="33"/>
  <c r="H57" i="33"/>
  <c r="I57" i="33"/>
  <c r="B1" i="34"/>
  <c r="E8" i="34"/>
  <c r="F8" i="34"/>
  <c r="G8" i="34"/>
  <c r="G50" i="34"/>
  <c r="G55" i="34"/>
  <c r="H8" i="34"/>
  <c r="I8" i="34"/>
  <c r="J8" i="34"/>
  <c r="K8" i="34"/>
  <c r="L8" i="34"/>
  <c r="M8" i="34"/>
  <c r="N8" i="34"/>
  <c r="E19" i="34"/>
  <c r="F19" i="34"/>
  <c r="G19" i="34"/>
  <c r="H19" i="34"/>
  <c r="I19" i="34"/>
  <c r="J19" i="34"/>
  <c r="K19" i="34"/>
  <c r="K57" i="34"/>
  <c r="L19" i="34"/>
  <c r="M19" i="34"/>
  <c r="N19" i="34"/>
  <c r="E30" i="34"/>
  <c r="F30" i="34"/>
  <c r="G30" i="34"/>
  <c r="H30" i="34"/>
  <c r="I30" i="34"/>
  <c r="J30" i="34"/>
  <c r="K30" i="34"/>
  <c r="L30" i="34"/>
  <c r="M30" i="34"/>
  <c r="N30" i="34"/>
  <c r="E40" i="34"/>
  <c r="F40" i="34"/>
  <c r="G40" i="34"/>
  <c r="H40" i="34"/>
  <c r="I40" i="34"/>
  <c r="J40" i="34"/>
  <c r="K40" i="34"/>
  <c r="L40" i="34"/>
  <c r="M40" i="34"/>
  <c r="N40" i="34"/>
  <c r="N50" i="34"/>
  <c r="N55" i="34"/>
  <c r="E52" i="34"/>
  <c r="F52" i="34"/>
  <c r="G52" i="34"/>
  <c r="G57" i="34"/>
  <c r="H52" i="34"/>
  <c r="I52" i="34"/>
  <c r="J52" i="34"/>
  <c r="J57" i="34"/>
  <c r="K52" i="34"/>
  <c r="L52" i="34"/>
  <c r="M52" i="34"/>
  <c r="N52" i="34"/>
  <c r="H57" i="34"/>
  <c r="I57" i="34"/>
  <c r="N57" i="34"/>
  <c r="B1" i="35"/>
  <c r="E8" i="35"/>
  <c r="F8" i="35"/>
  <c r="G8" i="35"/>
  <c r="H8" i="35"/>
  <c r="I8" i="35"/>
  <c r="J8" i="35"/>
  <c r="K8" i="35"/>
  <c r="L8" i="35"/>
  <c r="M8" i="35"/>
  <c r="N8" i="35"/>
  <c r="E19" i="35"/>
  <c r="F19" i="35"/>
  <c r="G19" i="35"/>
  <c r="H19" i="35"/>
  <c r="H50" i="35"/>
  <c r="H55" i="35"/>
  <c r="I19" i="35"/>
  <c r="I57" i="35"/>
  <c r="J19" i="35"/>
  <c r="J57" i="35"/>
  <c r="K19" i="35"/>
  <c r="K57" i="35"/>
  <c r="L19" i="35"/>
  <c r="M19" i="35"/>
  <c r="N19" i="35"/>
  <c r="N50" i="35"/>
  <c r="E30" i="35"/>
  <c r="F30" i="35"/>
  <c r="G30" i="35"/>
  <c r="H30" i="35"/>
  <c r="I30" i="35"/>
  <c r="J30" i="35"/>
  <c r="K30" i="35"/>
  <c r="K50" i="35"/>
  <c r="K55" i="35"/>
  <c r="L30" i="35"/>
  <c r="M30" i="35"/>
  <c r="N30" i="35"/>
  <c r="E40" i="35"/>
  <c r="F40" i="35"/>
  <c r="G40" i="35"/>
  <c r="G50" i="35"/>
  <c r="G55" i="35"/>
  <c r="H40" i="35"/>
  <c r="I40" i="35"/>
  <c r="J40" i="35"/>
  <c r="K40" i="35"/>
  <c r="L40" i="35"/>
  <c r="M40" i="35"/>
  <c r="N40" i="35"/>
  <c r="E50" i="35"/>
  <c r="E55" i="35"/>
  <c r="F50" i="35"/>
  <c r="F55" i="35"/>
  <c r="N55" i="35"/>
  <c r="E52" i="35"/>
  <c r="E57" i="35"/>
  <c r="F52" i="35"/>
  <c r="G52" i="35"/>
  <c r="H52" i="35"/>
  <c r="H57" i="35"/>
  <c r="I52" i="35"/>
  <c r="J52" i="35"/>
  <c r="K52" i="35"/>
  <c r="L52" i="35"/>
  <c r="L57" i="35"/>
  <c r="M52" i="35"/>
  <c r="N52" i="35"/>
  <c r="F57" i="35"/>
  <c r="G57" i="35"/>
  <c r="B1" i="36"/>
  <c r="E8" i="36"/>
  <c r="F8" i="36"/>
  <c r="G8" i="36"/>
  <c r="H8" i="36"/>
  <c r="I8" i="36"/>
  <c r="J8" i="36"/>
  <c r="K8" i="36"/>
  <c r="L8" i="36"/>
  <c r="L50" i="36"/>
  <c r="L55" i="36"/>
  <c r="M8" i="36"/>
  <c r="N8" i="36"/>
  <c r="E19" i="36"/>
  <c r="F19" i="36"/>
  <c r="G19" i="36"/>
  <c r="H19" i="36"/>
  <c r="I19" i="36"/>
  <c r="J19" i="36"/>
  <c r="K19" i="36"/>
  <c r="L19" i="36"/>
  <c r="M19" i="36"/>
  <c r="N19" i="36"/>
  <c r="E30" i="36"/>
  <c r="F30" i="36"/>
  <c r="G30" i="36"/>
  <c r="H30" i="36"/>
  <c r="I30" i="36"/>
  <c r="J30" i="36"/>
  <c r="K30" i="36"/>
  <c r="K50" i="36"/>
  <c r="K55" i="36"/>
  <c r="L30" i="36"/>
  <c r="M30" i="36"/>
  <c r="N30" i="36"/>
  <c r="E40" i="36"/>
  <c r="F40" i="36"/>
  <c r="F50" i="36"/>
  <c r="F55" i="36"/>
  <c r="G40" i="36"/>
  <c r="G50" i="36"/>
  <c r="H40" i="36"/>
  <c r="I40" i="36"/>
  <c r="J40" i="36"/>
  <c r="K40" i="36"/>
  <c r="L40" i="36"/>
  <c r="M40" i="36"/>
  <c r="N40" i="36"/>
  <c r="N50" i="36"/>
  <c r="N55" i="36"/>
  <c r="E50" i="36"/>
  <c r="E55" i="36"/>
  <c r="E52" i="36"/>
  <c r="F52" i="36"/>
  <c r="G52" i="36"/>
  <c r="G57" i="36"/>
  <c r="H52" i="36"/>
  <c r="I52" i="36"/>
  <c r="I57" i="36"/>
  <c r="J52" i="36"/>
  <c r="J57" i="36"/>
  <c r="K52" i="36"/>
  <c r="L52" i="36"/>
  <c r="M52" i="36"/>
  <c r="N52" i="36"/>
  <c r="E57" i="36"/>
  <c r="F57" i="36"/>
  <c r="L57" i="36"/>
  <c r="N57" i="36"/>
  <c r="F21" i="46"/>
  <c r="D21" i="45"/>
  <c r="F21" i="47"/>
  <c r="D20" i="44"/>
  <c r="D22" i="46"/>
  <c r="D22" i="45" s="1"/>
  <c r="D19" i="46"/>
  <c r="D18" i="46"/>
  <c r="D15" i="46"/>
  <c r="D15" i="45" s="1"/>
  <c r="D19" i="45"/>
  <c r="G52" i="2"/>
  <c r="H52" i="2" s="1"/>
  <c r="K45" i="53"/>
  <c r="P46" i="53"/>
  <c r="F57" i="33"/>
  <c r="G57" i="32"/>
  <c r="I50" i="34"/>
  <c r="I55" i="34"/>
  <c r="I8" i="10"/>
  <c r="K57" i="23"/>
  <c r="L50" i="35"/>
  <c r="H50" i="31"/>
  <c r="H55" i="31"/>
  <c r="H57" i="31"/>
  <c r="M56" i="2"/>
  <c r="M49" i="2"/>
  <c r="M54" i="2"/>
  <c r="L50" i="22"/>
  <c r="H57" i="22"/>
  <c r="H50" i="22"/>
  <c r="H55" i="22"/>
  <c r="I57" i="21"/>
  <c r="I50" i="21"/>
  <c r="I55" i="21"/>
  <c r="J57" i="20"/>
  <c r="J50" i="20"/>
  <c r="J55" i="20"/>
  <c r="K57" i="19"/>
  <c r="K50" i="19"/>
  <c r="K55" i="19"/>
  <c r="I57" i="37"/>
  <c r="I50" i="37"/>
  <c r="I55" i="37"/>
  <c r="E54" i="2"/>
  <c r="N57" i="33"/>
  <c r="H55" i="18"/>
  <c r="H57" i="18"/>
  <c r="K57" i="36"/>
  <c r="M57" i="34"/>
  <c r="M50" i="34"/>
  <c r="M55" i="34"/>
  <c r="G57" i="22"/>
  <c r="G50" i="22"/>
  <c r="G55" i="22"/>
  <c r="I57" i="20"/>
  <c r="I50" i="20"/>
  <c r="I55" i="20"/>
  <c r="J57" i="19"/>
  <c r="J50" i="19"/>
  <c r="J55" i="19"/>
  <c r="E59" i="42"/>
  <c r="E64" i="42"/>
  <c r="J50" i="36"/>
  <c r="J55" i="36"/>
  <c r="L50" i="34"/>
  <c r="L55" i="34"/>
  <c r="M50" i="33"/>
  <c r="M55" i="33"/>
  <c r="E50" i="33"/>
  <c r="E55" i="33"/>
  <c r="N50" i="32"/>
  <c r="N55" i="32"/>
  <c r="F50" i="32"/>
  <c r="F55" i="32"/>
  <c r="H50" i="37"/>
  <c r="H55" i="37"/>
  <c r="N50" i="16"/>
  <c r="N55" i="16"/>
  <c r="F50" i="16"/>
  <c r="F55" i="16"/>
  <c r="J57" i="28"/>
  <c r="K57" i="27"/>
  <c r="L55" i="26"/>
  <c r="M57" i="24"/>
  <c r="M50" i="24"/>
  <c r="M55" i="24"/>
  <c r="E57" i="24"/>
  <c r="E50" i="24"/>
  <c r="E55" i="24"/>
  <c r="I40" i="52"/>
  <c r="F39" i="56" s="1"/>
  <c r="H57" i="21"/>
  <c r="H50" i="21"/>
  <c r="H55" i="21"/>
  <c r="N59" i="57"/>
  <c r="N64" i="57"/>
  <c r="N66" i="57"/>
  <c r="D18" i="45"/>
  <c r="I50" i="36"/>
  <c r="I55" i="36"/>
  <c r="J50" i="35"/>
  <c r="J55" i="35"/>
  <c r="K50" i="34"/>
  <c r="K55" i="34"/>
  <c r="L50" i="33"/>
  <c r="L55" i="33"/>
  <c r="M50" i="32"/>
  <c r="M55" i="32"/>
  <c r="E50" i="32"/>
  <c r="E55" i="32"/>
  <c r="G50" i="37"/>
  <c r="G55" i="37"/>
  <c r="N57" i="17"/>
  <c r="F57" i="17"/>
  <c r="M57" i="16"/>
  <c r="E57" i="16"/>
  <c r="E50" i="16"/>
  <c r="E55" i="16"/>
  <c r="H50" i="29"/>
  <c r="H55" i="29"/>
  <c r="I50" i="28"/>
  <c r="J57" i="27"/>
  <c r="J50" i="27"/>
  <c r="J55" i="27"/>
  <c r="L57" i="26"/>
  <c r="M57" i="25"/>
  <c r="E57" i="25"/>
  <c r="L57" i="24"/>
  <c r="L50" i="24"/>
  <c r="L55" i="24"/>
  <c r="M50" i="21"/>
  <c r="M55" i="21"/>
  <c r="E50" i="21"/>
  <c r="E55" i="21"/>
  <c r="N50" i="20"/>
  <c r="N55" i="20"/>
  <c r="F50" i="20"/>
  <c r="F55" i="20"/>
  <c r="G50" i="19"/>
  <c r="G55" i="19"/>
  <c r="L50" i="4"/>
  <c r="L55" i="4"/>
  <c r="I50" i="35"/>
  <c r="I55" i="35"/>
  <c r="J50" i="34"/>
  <c r="J55" i="34"/>
  <c r="E50" i="31"/>
  <c r="E55" i="31"/>
  <c r="N50" i="37"/>
  <c r="F50" i="37"/>
  <c r="F55" i="37"/>
  <c r="M57" i="17"/>
  <c r="M50" i="17"/>
  <c r="M55" i="17"/>
  <c r="E57" i="17"/>
  <c r="G57" i="29"/>
  <c r="G50" i="29"/>
  <c r="G55" i="29"/>
  <c r="H57" i="28"/>
  <c r="H50" i="28"/>
  <c r="H55" i="28"/>
  <c r="I57" i="27"/>
  <c r="I50" i="27"/>
  <c r="I55" i="27"/>
  <c r="K57" i="26"/>
  <c r="K50" i="26"/>
  <c r="K55" i="26"/>
  <c r="L57" i="25"/>
  <c r="L50" i="25"/>
  <c r="L55" i="25"/>
  <c r="J50" i="23"/>
  <c r="J55" i="23"/>
  <c r="K50" i="22"/>
  <c r="K55" i="22"/>
  <c r="L50" i="21"/>
  <c r="L55" i="21"/>
  <c r="M50" i="20"/>
  <c r="M55" i="20"/>
  <c r="E50" i="20"/>
  <c r="E55" i="20"/>
  <c r="N50" i="19"/>
  <c r="N55" i="19"/>
  <c r="F50" i="19"/>
  <c r="F55" i="19"/>
  <c r="F57" i="23"/>
  <c r="F50" i="23"/>
  <c r="F55" i="23"/>
  <c r="G57" i="16"/>
  <c r="H57" i="15"/>
  <c r="E57" i="23"/>
  <c r="E50" i="23"/>
  <c r="E55" i="23"/>
  <c r="J57" i="26"/>
  <c r="J50" i="26"/>
  <c r="J55" i="26"/>
  <c r="E50" i="25"/>
  <c r="E55" i="25"/>
  <c r="K57" i="25"/>
  <c r="K50" i="25"/>
  <c r="K55" i="25"/>
  <c r="J50" i="24"/>
  <c r="J55" i="24"/>
  <c r="N57" i="23"/>
  <c r="N50" i="23"/>
  <c r="N55" i="23"/>
  <c r="M57" i="23"/>
  <c r="M50" i="23"/>
  <c r="M55" i="23"/>
  <c r="G57" i="21"/>
  <c r="G50" i="21"/>
  <c r="G55" i="21"/>
  <c r="H57" i="20"/>
  <c r="H50" i="20"/>
  <c r="H55" i="20"/>
  <c r="I57" i="19"/>
  <c r="I50" i="19"/>
  <c r="I55" i="19"/>
  <c r="F50" i="17"/>
  <c r="F55" i="17"/>
  <c r="H50" i="15"/>
  <c r="H55" i="15"/>
  <c r="E57" i="29"/>
  <c r="I50" i="24"/>
  <c r="I55" i="24"/>
  <c r="P66" i="57"/>
  <c r="L35" i="53"/>
  <c r="N44" i="43"/>
  <c r="S44" i="43"/>
  <c r="P44" i="43"/>
  <c r="L44" i="43"/>
  <c r="K44" i="43"/>
  <c r="V44" i="43"/>
  <c r="F57" i="4"/>
  <c r="H50" i="4"/>
  <c r="H55" i="4" s="1"/>
  <c r="N50" i="4"/>
  <c r="N55" i="4"/>
  <c r="D23" i="46"/>
  <c r="F23" i="47"/>
  <c r="D22" i="44"/>
  <c r="L36" i="52"/>
  <c r="G11" i="58"/>
  <c r="K11" i="58" s="1"/>
  <c r="H11" i="58"/>
  <c r="I11" i="58"/>
  <c r="J11" i="58"/>
  <c r="M59" i="57"/>
  <c r="Q59" i="57"/>
  <c r="E44" i="56"/>
  <c r="E45" i="56"/>
  <c r="T59" i="57"/>
  <c r="P38" i="43"/>
  <c r="T22" i="61"/>
  <c r="F59" i="57"/>
  <c r="F64" i="57"/>
  <c r="F66" i="57"/>
  <c r="J59" i="57"/>
  <c r="M37" i="43"/>
  <c r="J62" i="57"/>
  <c r="J64" i="57" s="1"/>
  <c r="R62" i="57"/>
  <c r="R64" i="57" s="1"/>
  <c r="T36" i="43"/>
  <c r="Q36" i="43"/>
  <c r="P59" i="57"/>
  <c r="P64" i="57"/>
  <c r="I62" i="57"/>
  <c r="I66" i="57" s="1"/>
  <c r="O34" i="43"/>
  <c r="N34" i="43"/>
  <c r="H12" i="58"/>
  <c r="G7" i="59"/>
  <c r="H7" i="59"/>
  <c r="I7" i="59"/>
  <c r="J7" i="59"/>
  <c r="I9" i="58"/>
  <c r="H11" i="59"/>
  <c r="J12" i="59"/>
  <c r="H9" i="58"/>
  <c r="J10" i="58"/>
  <c r="I12" i="59"/>
  <c r="F23" i="46"/>
  <c r="E22" i="44"/>
  <c r="L36" i="53"/>
  <c r="D23" i="45"/>
  <c r="F23" i="45"/>
  <c r="F22" i="44"/>
  <c r="H22" i="44"/>
  <c r="M50" i="36"/>
  <c r="M55" i="36"/>
  <c r="M57" i="36"/>
  <c r="G57" i="15"/>
  <c r="G50" i="15"/>
  <c r="G55" i="15"/>
  <c r="L55" i="35"/>
  <c r="H57" i="36"/>
  <c r="H50" i="36"/>
  <c r="H55" i="36"/>
  <c r="F50" i="34"/>
  <c r="F55" i="34"/>
  <c r="F57" i="34"/>
  <c r="L57" i="32"/>
  <c r="L50" i="32"/>
  <c r="L55" i="32"/>
  <c r="N57" i="37"/>
  <c r="N57" i="15"/>
  <c r="N50" i="15"/>
  <c r="N55" i="15"/>
  <c r="F57" i="15"/>
  <c r="F50" i="15"/>
  <c r="F55" i="15"/>
  <c r="U36" i="43"/>
  <c r="K46" i="53"/>
  <c r="F56" i="2"/>
  <c r="F49" i="2"/>
  <c r="F54" i="2"/>
  <c r="G50" i="17"/>
  <c r="G55" i="17"/>
  <c r="G57" i="17"/>
  <c r="I57" i="28"/>
  <c r="I55" i="28"/>
  <c r="K50" i="33"/>
  <c r="K55" i="33"/>
  <c r="L55" i="18"/>
  <c r="E57" i="18"/>
  <c r="N50" i="24"/>
  <c r="N55" i="24"/>
  <c r="N57" i="24"/>
  <c r="F57" i="24"/>
  <c r="F50" i="24"/>
  <c r="F55" i="24"/>
  <c r="G57" i="23"/>
  <c r="G50" i="23"/>
  <c r="G55" i="23"/>
  <c r="L55" i="22"/>
  <c r="L57" i="22"/>
  <c r="N57" i="22"/>
  <c r="N50" i="22"/>
  <c r="N55" i="22"/>
  <c r="F57" i="22"/>
  <c r="F50" i="22"/>
  <c r="F55" i="22"/>
  <c r="M46" i="51"/>
  <c r="G55" i="36"/>
  <c r="E20" i="44"/>
  <c r="M50" i="35"/>
  <c r="M55" i="35"/>
  <c r="M57" i="35"/>
  <c r="I57" i="31"/>
  <c r="E57" i="10"/>
  <c r="E50" i="10"/>
  <c r="E55" i="10"/>
  <c r="N57" i="10"/>
  <c r="N50" i="10"/>
  <c r="N55" i="10"/>
  <c r="E50" i="37"/>
  <c r="E55" i="37"/>
  <c r="E50" i="17"/>
  <c r="E55" i="17"/>
  <c r="H50" i="34"/>
  <c r="H55" i="34"/>
  <c r="L57" i="34"/>
  <c r="E57" i="34"/>
  <c r="E50" i="34"/>
  <c r="E55" i="34"/>
  <c r="M57" i="33"/>
  <c r="N57" i="32"/>
  <c r="G57" i="31"/>
  <c r="K50" i="18"/>
  <c r="K55" i="18"/>
  <c r="K57" i="18"/>
  <c r="I50" i="29"/>
  <c r="I55" i="29"/>
  <c r="I57" i="29"/>
  <c r="N55" i="37"/>
  <c r="N50" i="33"/>
  <c r="N55" i="33"/>
  <c r="M57" i="31"/>
  <c r="M50" i="31"/>
  <c r="M55" i="31"/>
  <c r="F57" i="18"/>
  <c r="I57" i="16"/>
  <c r="I50" i="16"/>
  <c r="I55" i="16"/>
  <c r="N57" i="35"/>
  <c r="E57" i="15"/>
  <c r="N57" i="29"/>
  <c r="F57" i="27"/>
  <c r="M57" i="27"/>
  <c r="M50" i="27"/>
  <c r="M55" i="27"/>
  <c r="E50" i="27"/>
  <c r="E55" i="27"/>
  <c r="G55" i="27"/>
  <c r="H50" i="24"/>
  <c r="H55" i="24"/>
  <c r="H57" i="24"/>
  <c r="L55" i="19"/>
  <c r="K40" i="10"/>
  <c r="L57" i="27"/>
  <c r="H24" i="47"/>
  <c r="E29" i="47" s="1"/>
  <c r="U34" i="43"/>
  <c r="I52" i="4"/>
  <c r="J22" i="4"/>
  <c r="M41" i="43"/>
  <c r="Q41" i="43"/>
  <c r="V41" i="43"/>
  <c r="K50" i="23"/>
  <c r="K55" i="23"/>
  <c r="F55" i="28"/>
  <c r="M50" i="25"/>
  <c r="M55" i="25"/>
  <c r="E57" i="22"/>
  <c r="E50" i="22"/>
  <c r="E55" i="22"/>
  <c r="H50" i="19"/>
  <c r="H55" i="19"/>
  <c r="L50" i="27"/>
  <c r="L55" i="27"/>
  <c r="E57" i="26"/>
  <c r="I50" i="25"/>
  <c r="I55" i="25"/>
  <c r="I57" i="25"/>
  <c r="G57" i="20"/>
  <c r="G50" i="20"/>
  <c r="G55" i="20"/>
  <c r="N57" i="4"/>
  <c r="K30" i="10"/>
  <c r="G59" i="57"/>
  <c r="H18" i="57"/>
  <c r="V37" i="43"/>
  <c r="P37" i="43"/>
  <c r="J57" i="25"/>
  <c r="H57" i="19"/>
  <c r="U18" i="43"/>
  <c r="V23" i="61" s="1"/>
  <c r="P18" i="43"/>
  <c r="Q23" i="61" s="1"/>
  <c r="M48" i="43"/>
  <c r="R45" i="51"/>
  <c r="O21" i="61"/>
  <c r="G9" i="59"/>
  <c r="G15" i="59"/>
  <c r="N50" i="26"/>
  <c r="N55" i="26"/>
  <c r="G57" i="24"/>
  <c r="F50" i="21"/>
  <c r="F55" i="21"/>
  <c r="L45" i="52"/>
  <c r="V48" i="43"/>
  <c r="R48" i="43"/>
  <c r="O48" i="43"/>
  <c r="H46" i="43"/>
  <c r="F61" i="42" s="1"/>
  <c r="G61" i="42" s="1"/>
  <c r="G32" i="42" s="1"/>
  <c r="T48" i="43"/>
  <c r="T18" i="43"/>
  <c r="U23" i="61" s="1"/>
  <c r="Q52" i="43"/>
  <c r="R32" i="61" s="1"/>
  <c r="R33" i="61" s="1"/>
  <c r="O18" i="43"/>
  <c r="P23" i="61" s="1"/>
  <c r="L48" i="43"/>
  <c r="L18" i="43"/>
  <c r="G38" i="52" s="1"/>
  <c r="M18" i="43"/>
  <c r="I10" i="58"/>
  <c r="F35" i="42"/>
  <c r="R35" i="42" s="1"/>
  <c r="K52" i="43"/>
  <c r="U52" i="43"/>
  <c r="V32" i="61" s="1"/>
  <c r="V33" i="61" s="1"/>
  <c r="S48" i="43"/>
  <c r="Q18" i="43"/>
  <c r="N52" i="43"/>
  <c r="O32" i="61" s="1"/>
  <c r="J9" i="58"/>
  <c r="K48" i="43"/>
  <c r="U48" i="43"/>
  <c r="N48" i="43"/>
  <c r="N18" i="43"/>
  <c r="O23" i="61" s="1"/>
  <c r="H10" i="58"/>
  <c r="K10" i="58" s="1"/>
  <c r="L46" i="52"/>
  <c r="M46" i="52"/>
  <c r="M45" i="52"/>
  <c r="L45" i="53"/>
  <c r="R46" i="51"/>
  <c r="E45" i="52"/>
  <c r="H59" i="57"/>
  <c r="H64" i="57"/>
  <c r="I18" i="57"/>
  <c r="I59" i="57"/>
  <c r="J52" i="4"/>
  <c r="K22" i="4"/>
  <c r="K52" i="4"/>
  <c r="L46" i="53"/>
  <c r="M46" i="53"/>
  <c r="M45" i="53"/>
  <c r="R45" i="52"/>
  <c r="E46" i="52"/>
  <c r="R46" i="52"/>
  <c r="E45" i="53"/>
  <c r="E46" i="53"/>
  <c r="R45" i="53"/>
  <c r="R46" i="53"/>
  <c r="M45" i="60"/>
  <c r="R45" i="60"/>
  <c r="R46" i="60"/>
  <c r="H50" i="60"/>
  <c r="I32" i="60"/>
  <c r="G22" i="58"/>
  <c r="G8" i="58"/>
  <c r="K8" i="58" s="1"/>
  <c r="H8" i="58"/>
  <c r="E25" i="58"/>
  <c r="E29" i="58"/>
  <c r="E33" i="58"/>
  <c r="J8" i="58"/>
  <c r="G29" i="58"/>
  <c r="E35" i="58"/>
  <c r="E37" i="58"/>
  <c r="F15" i="58"/>
  <c r="I15" i="58" s="1"/>
  <c r="C17" i="58"/>
  <c r="G15" i="58"/>
  <c r="Q62" i="57"/>
  <c r="Q66" i="57"/>
  <c r="Q64" i="57"/>
  <c r="N24" i="61"/>
  <c r="J17" i="63" s="1"/>
  <c r="H38" i="60"/>
  <c r="L38" i="60" s="1"/>
  <c r="O64" i="57" l="1"/>
  <c r="O66" i="57"/>
  <c r="I52" i="2"/>
  <c r="H53" i="10"/>
  <c r="M62" i="57"/>
  <c r="I64" i="57"/>
  <c r="G21" i="2"/>
  <c r="G22" i="10" s="1"/>
  <c r="G52" i="10" s="1"/>
  <c r="K62" i="57"/>
  <c r="G53" i="10"/>
  <c r="G62" i="57"/>
  <c r="G66" i="57" s="1"/>
  <c r="G26" i="10"/>
  <c r="H25" i="2"/>
  <c r="H26" i="10" s="1"/>
  <c r="O25" i="42"/>
  <c r="I25" i="42"/>
  <c r="M32" i="43"/>
  <c r="S32" i="43" s="1"/>
  <c r="T23" i="61" s="1"/>
  <c r="H21" i="2"/>
  <c r="J52" i="2"/>
  <c r="I53" i="10"/>
  <c r="R66" i="57"/>
  <c r="G64" i="57"/>
  <c r="J66" i="57"/>
  <c r="R20" i="43"/>
  <c r="P20" i="43"/>
  <c r="Q22" i="61" s="1"/>
  <c r="V20" i="43"/>
  <c r="W22" i="61" s="1"/>
  <c r="N20" i="43"/>
  <c r="L20" i="43"/>
  <c r="T20" i="43"/>
  <c r="V18" i="43"/>
  <c r="W23" i="61" s="1"/>
  <c r="G21" i="46"/>
  <c r="G21" i="45" s="1"/>
  <c r="J21" i="63"/>
  <c r="N33" i="61"/>
  <c r="L50" i="51"/>
  <c r="L49" i="52"/>
  <c r="I49" i="51"/>
  <c r="L32" i="61"/>
  <c r="L32" i="52"/>
  <c r="H42" i="53"/>
  <c r="H52" i="53" s="1"/>
  <c r="L34" i="52"/>
  <c r="L34" i="60" s="1"/>
  <c r="L39" i="60"/>
  <c r="L39" i="53"/>
  <c r="E24" i="61" s="1"/>
  <c r="K21" i="61"/>
  <c r="L37" i="60"/>
  <c r="L37" i="53"/>
  <c r="E21" i="61" s="1"/>
  <c r="E18" i="62"/>
  <c r="M17" i="63"/>
  <c r="K24" i="61"/>
  <c r="G55" i="4"/>
  <c r="I19" i="4"/>
  <c r="J20" i="4"/>
  <c r="T52" i="43"/>
  <c r="U32" i="61" s="1"/>
  <c r="U33" i="61" s="1"/>
  <c r="L52" i="43"/>
  <c r="H50" i="43"/>
  <c r="G25" i="46"/>
  <c r="G25" i="45" s="1"/>
  <c r="E25" i="45" s="1"/>
  <c r="F25" i="45" s="1"/>
  <c r="S52" i="43"/>
  <c r="T32" i="61" s="1"/>
  <c r="T33" i="61" s="1"/>
  <c r="O52" i="43"/>
  <c r="P32" i="61" s="1"/>
  <c r="P33" i="61" s="1"/>
  <c r="V52" i="43"/>
  <c r="W32" i="61" s="1"/>
  <c r="W33" i="61" s="1"/>
  <c r="R52" i="43"/>
  <c r="S32" i="61" s="1"/>
  <c r="S33" i="61" s="1"/>
  <c r="M52" i="43"/>
  <c r="K21" i="63" s="1"/>
  <c r="L21" i="63" s="1"/>
  <c r="P52" i="43"/>
  <c r="Q32" i="61" s="1"/>
  <c r="Q33" i="61" s="1"/>
  <c r="M35" i="42"/>
  <c r="I35" i="42"/>
  <c r="Q35" i="42"/>
  <c r="R21" i="61"/>
  <c r="K18" i="43"/>
  <c r="G38" i="51" s="1"/>
  <c r="R18" i="43"/>
  <c r="S23" i="61" s="1"/>
  <c r="C32" i="60"/>
  <c r="P32" i="60" s="1"/>
  <c r="C32" i="53"/>
  <c r="H16" i="61" s="1"/>
  <c r="I10" i="62" s="1"/>
  <c r="C32" i="52"/>
  <c r="P32" i="52" s="1"/>
  <c r="U17" i="43"/>
  <c r="V16" i="61" s="1"/>
  <c r="R17" i="43"/>
  <c r="S16" i="61" s="1"/>
  <c r="L17" i="43"/>
  <c r="G32" i="52" s="1"/>
  <c r="I32" i="52" s="1"/>
  <c r="F31" i="56" s="1"/>
  <c r="F29" i="42"/>
  <c r="K29" i="42" s="1"/>
  <c r="O17" i="43"/>
  <c r="P16" i="61" s="1"/>
  <c r="G15" i="46"/>
  <c r="G15" i="45" s="1"/>
  <c r="I25" i="2"/>
  <c r="M25" i="42"/>
  <c r="F25" i="42" s="1"/>
  <c r="M28" i="43"/>
  <c r="T26" i="43"/>
  <c r="O26" i="43"/>
  <c r="M26" i="43"/>
  <c r="H15" i="58"/>
  <c r="J15" i="58"/>
  <c r="H15" i="59"/>
  <c r="J10" i="59"/>
  <c r="I10" i="59"/>
  <c r="H10" i="59"/>
  <c r="K10" i="59" s="1"/>
  <c r="J8" i="59"/>
  <c r="K12" i="59"/>
  <c r="M12" i="59" s="1"/>
  <c r="H8" i="59"/>
  <c r="G8" i="59"/>
  <c r="K8" i="59" s="1"/>
  <c r="I12" i="58"/>
  <c r="J12" i="58"/>
  <c r="G12" i="58"/>
  <c r="K12" i="58" s="1"/>
  <c r="L11" i="58"/>
  <c r="M11" i="58"/>
  <c r="N11" i="58"/>
  <c r="O11" i="58"/>
  <c r="P11" i="58"/>
  <c r="O10" i="58"/>
  <c r="L10" i="58"/>
  <c r="N10" i="58"/>
  <c r="M10" i="58"/>
  <c r="P10" i="58" s="1"/>
  <c r="O9" i="58"/>
  <c r="L9" i="58"/>
  <c r="M9" i="58"/>
  <c r="N9" i="58"/>
  <c r="P9" i="58"/>
  <c r="M8" i="58"/>
  <c r="O8" i="58"/>
  <c r="N8" i="58"/>
  <c r="L8" i="58"/>
  <c r="P8" i="58" s="1"/>
  <c r="H7" i="58"/>
  <c r="I7" i="58"/>
  <c r="K7" i="58" s="1"/>
  <c r="J7" i="58"/>
  <c r="O12" i="59"/>
  <c r="G29" i="59"/>
  <c r="E37" i="59"/>
  <c r="G23" i="59"/>
  <c r="G27" i="59"/>
  <c r="I15" i="59"/>
  <c r="K15" i="59" s="1"/>
  <c r="J9" i="59"/>
  <c r="I9" i="59"/>
  <c r="J11" i="59"/>
  <c r="K11" i="59" s="1"/>
  <c r="F13" i="59"/>
  <c r="F17" i="59" s="1"/>
  <c r="K15" i="58"/>
  <c r="H17" i="58"/>
  <c r="O61" i="42"/>
  <c r="O32" i="42" s="1"/>
  <c r="C32" i="51"/>
  <c r="M49" i="51"/>
  <c r="M50" i="51" s="1"/>
  <c r="I50" i="51"/>
  <c r="I40" i="53"/>
  <c r="G39" i="56" s="1"/>
  <c r="C49" i="52"/>
  <c r="C49" i="51"/>
  <c r="I32" i="51"/>
  <c r="M32" i="51" s="1"/>
  <c r="I32" i="53"/>
  <c r="G31" i="56" s="1"/>
  <c r="M40" i="51"/>
  <c r="E39" i="56"/>
  <c r="K40" i="51"/>
  <c r="K40" i="52" s="1"/>
  <c r="G50" i="51"/>
  <c r="I38" i="51"/>
  <c r="K38" i="51"/>
  <c r="K38" i="52" s="1"/>
  <c r="M38" i="52" s="1"/>
  <c r="S40" i="43"/>
  <c r="V40" i="43"/>
  <c r="M40" i="43"/>
  <c r="P40" i="43"/>
  <c r="E21" i="45"/>
  <c r="F21" i="45" s="1"/>
  <c r="F20" i="44" s="1"/>
  <c r="H20" i="44" s="1"/>
  <c r="G18" i="47"/>
  <c r="R28" i="43"/>
  <c r="T19" i="43"/>
  <c r="K19" i="43"/>
  <c r="N19" i="43"/>
  <c r="Q19" i="43"/>
  <c r="V19" i="43"/>
  <c r="M19" i="43"/>
  <c r="O19" i="43"/>
  <c r="U19" i="43"/>
  <c r="M36" i="43"/>
  <c r="V36" i="43"/>
  <c r="G19" i="46"/>
  <c r="G19" i="45" s="1"/>
  <c r="O36" i="43"/>
  <c r="S36" i="43"/>
  <c r="N36" i="43"/>
  <c r="K36" i="43"/>
  <c r="E19" i="47"/>
  <c r="F19" i="47" s="1"/>
  <c r="D19" i="44" s="1"/>
  <c r="P36" i="43"/>
  <c r="R22" i="61"/>
  <c r="U22" i="61"/>
  <c r="S22" i="61"/>
  <c r="K15" i="63"/>
  <c r="L15" i="63" s="1"/>
  <c r="V22" i="61"/>
  <c r="H22" i="61"/>
  <c r="O22" i="61"/>
  <c r="E48" i="56"/>
  <c r="E49" i="56" s="1"/>
  <c r="K49" i="51"/>
  <c r="K50" i="51" s="1"/>
  <c r="F25" i="47"/>
  <c r="D24" i="44" s="1"/>
  <c r="Q30" i="43"/>
  <c r="R23" i="61" s="1"/>
  <c r="M39" i="43"/>
  <c r="L28" i="43"/>
  <c r="G19" i="47"/>
  <c r="G37" i="51"/>
  <c r="S19" i="43"/>
  <c r="Y25" i="61"/>
  <c r="H19" i="62" s="1"/>
  <c r="O33" i="61"/>
  <c r="M61" i="42"/>
  <c r="M32" i="42" s="1"/>
  <c r="L61" i="42"/>
  <c r="L32" i="42" s="1"/>
  <c r="F32" i="42"/>
  <c r="I61" i="42"/>
  <c r="I32" i="42" s="1"/>
  <c r="K61" i="42"/>
  <c r="K32" i="42" s="1"/>
  <c r="H61" i="42"/>
  <c r="H32" i="42" s="1"/>
  <c r="P61" i="42"/>
  <c r="P32" i="42" s="1"/>
  <c r="Q61" i="42"/>
  <c r="Q32" i="42" s="1"/>
  <c r="J61" i="42"/>
  <c r="J32" i="42" s="1"/>
  <c r="N61" i="42"/>
  <c r="N32" i="42" s="1"/>
  <c r="P39" i="43"/>
  <c r="Q20" i="61" s="1"/>
  <c r="R36" i="43"/>
  <c r="Q26" i="43"/>
  <c r="N26" i="43"/>
  <c r="S26" i="43"/>
  <c r="K26" i="43"/>
  <c r="U26" i="43"/>
  <c r="L26" i="43"/>
  <c r="V26" i="43"/>
  <c r="R26" i="43"/>
  <c r="P26" i="43"/>
  <c r="P29" i="61"/>
  <c r="P30" i="61" s="1"/>
  <c r="H12" i="43"/>
  <c r="H7" i="43" s="1"/>
  <c r="S34" i="43"/>
  <c r="V34" i="43"/>
  <c r="P34" i="43"/>
  <c r="Q34" i="43"/>
  <c r="K34" i="43"/>
  <c r="M34" i="43"/>
  <c r="T34" i="43"/>
  <c r="L34" i="43"/>
  <c r="R34" i="43"/>
  <c r="G20" i="47"/>
  <c r="P21" i="61"/>
  <c r="V21" i="61"/>
  <c r="K14" i="63"/>
  <c r="L14" i="63" s="1"/>
  <c r="S21" i="61"/>
  <c r="Q21" i="61"/>
  <c r="U21" i="61"/>
  <c r="W21" i="61"/>
  <c r="V35" i="43"/>
  <c r="W19" i="61" s="1"/>
  <c r="P35" i="43"/>
  <c r="Q19" i="61" s="1"/>
  <c r="Q35" i="43"/>
  <c r="R19" i="61" s="1"/>
  <c r="M35" i="43"/>
  <c r="R35" i="43"/>
  <c r="S19" i="61" s="1"/>
  <c r="F27" i="42"/>
  <c r="N35" i="43"/>
  <c r="O19" i="61" s="1"/>
  <c r="L35" i="43"/>
  <c r="G35" i="52" s="1"/>
  <c r="U35" i="43"/>
  <c r="V19" i="61" s="1"/>
  <c r="K35" i="43"/>
  <c r="G35" i="51" s="1"/>
  <c r="V39" i="43"/>
  <c r="G18" i="46"/>
  <c r="V28" i="43"/>
  <c r="T28" i="43"/>
  <c r="P28" i="43"/>
  <c r="O28" i="43"/>
  <c r="N28" i="43"/>
  <c r="K28" i="43"/>
  <c r="U28" i="43"/>
  <c r="E31" i="56"/>
  <c r="I38" i="52"/>
  <c r="F37" i="56" s="1"/>
  <c r="W20" i="61"/>
  <c r="T35" i="43"/>
  <c r="U19" i="61" s="1"/>
  <c r="O30" i="61"/>
  <c r="S41" i="43"/>
  <c r="K41" i="43"/>
  <c r="P41" i="43"/>
  <c r="U41" i="43"/>
  <c r="V20" i="61" s="1"/>
  <c r="R41" i="43"/>
  <c r="S20" i="61" s="1"/>
  <c r="N41" i="43"/>
  <c r="O20" i="61" s="1"/>
  <c r="T41" i="43"/>
  <c r="U20" i="61" s="1"/>
  <c r="L41" i="43"/>
  <c r="O41" i="43"/>
  <c r="P20" i="61" s="1"/>
  <c r="R44" i="43"/>
  <c r="T44" i="43"/>
  <c r="M44" i="43"/>
  <c r="U44" i="43"/>
  <c r="Q44" i="43"/>
  <c r="C49" i="60"/>
  <c r="C49" i="53"/>
  <c r="S37" i="43"/>
  <c r="F24" i="42"/>
  <c r="G35" i="42"/>
  <c r="L35" i="42"/>
  <c r="K35" i="42"/>
  <c r="J35" i="42"/>
  <c r="H35" i="42"/>
  <c r="O35" i="42"/>
  <c r="N35" i="42"/>
  <c r="Q29" i="42"/>
  <c r="R20" i="61"/>
  <c r="O35" i="43"/>
  <c r="P19" i="61" s="1"/>
  <c r="P35" i="42"/>
  <c r="R61" i="42"/>
  <c r="R32" i="42" s="1"/>
  <c r="Q28" i="43"/>
  <c r="L36" i="43"/>
  <c r="G36" i="52" s="1"/>
  <c r="G21" i="47"/>
  <c r="P22" i="61"/>
  <c r="R29" i="61"/>
  <c r="R30" i="61" s="1"/>
  <c r="C40" i="60"/>
  <c r="P40" i="60" s="1"/>
  <c r="C40" i="51"/>
  <c r="C40" i="53"/>
  <c r="C40" i="52"/>
  <c r="P40" i="52" s="1"/>
  <c r="M38" i="43"/>
  <c r="S38" i="43"/>
  <c r="V38" i="43"/>
  <c r="E25" i="46"/>
  <c r="P48" i="43"/>
  <c r="Q29" i="61" s="1"/>
  <c r="G38" i="60"/>
  <c r="H42" i="60"/>
  <c r="H52" i="60" s="1"/>
  <c r="L38" i="53"/>
  <c r="N23" i="61"/>
  <c r="L18" i="61"/>
  <c r="K18" i="61" s="1"/>
  <c r="L34" i="53"/>
  <c r="E18" i="61" s="1"/>
  <c r="H42" i="52"/>
  <c r="H52" i="52" s="1"/>
  <c r="L33" i="53"/>
  <c r="E17" i="61" s="1"/>
  <c r="L33" i="60"/>
  <c r="L27" i="61"/>
  <c r="K17" i="61"/>
  <c r="H42" i="51"/>
  <c r="H52" i="51" s="1"/>
  <c r="L42" i="51"/>
  <c r="L52" i="51" s="1"/>
  <c r="D43" i="50"/>
  <c r="D24" i="45"/>
  <c r="D27" i="45" s="1"/>
  <c r="D27" i="46"/>
  <c r="D27" i="47"/>
  <c r="L41" i="52"/>
  <c r="M26" i="61"/>
  <c r="O33" i="43"/>
  <c r="P24" i="61" s="1"/>
  <c r="U33" i="43"/>
  <c r="V24" i="61" s="1"/>
  <c r="V33" i="43"/>
  <c r="W24" i="61" s="1"/>
  <c r="T33" i="43"/>
  <c r="U24" i="61" s="1"/>
  <c r="R33" i="43"/>
  <c r="S24" i="61" s="1"/>
  <c r="G22" i="46"/>
  <c r="L33" i="43"/>
  <c r="G39" i="52" s="1"/>
  <c r="G22" i="47"/>
  <c r="N33" i="43"/>
  <c r="O24" i="61" s="1"/>
  <c r="S33" i="43"/>
  <c r="T24" i="61" s="1"/>
  <c r="P33" i="43"/>
  <c r="Q24" i="61" s="1"/>
  <c r="M33" i="43"/>
  <c r="K33" i="43"/>
  <c r="G39" i="51" s="1"/>
  <c r="Q33" i="43"/>
  <c r="R24" i="61" s="1"/>
  <c r="Q43" i="43"/>
  <c r="P43" i="43"/>
  <c r="G24" i="47"/>
  <c r="L43" i="43"/>
  <c r="G41" i="52" s="1"/>
  <c r="M43" i="43"/>
  <c r="V43" i="43"/>
  <c r="W26" i="61" s="1"/>
  <c r="N43" i="43"/>
  <c r="O26" i="61" s="1"/>
  <c r="O43" i="43"/>
  <c r="P26" i="61" s="1"/>
  <c r="U43" i="43"/>
  <c r="K43" i="43"/>
  <c r="S43" i="43"/>
  <c r="T26" i="61" s="1"/>
  <c r="T43" i="43"/>
  <c r="U26" i="61" s="1"/>
  <c r="G24" i="46"/>
  <c r="R43" i="43"/>
  <c r="S26" i="61" s="1"/>
  <c r="R19" i="43"/>
  <c r="L19" i="43"/>
  <c r="H25" i="39"/>
  <c r="H27" i="43"/>
  <c r="G25" i="43"/>
  <c r="G25" i="39"/>
  <c r="H12" i="39"/>
  <c r="H7" i="39" s="1"/>
  <c r="F17" i="58"/>
  <c r="J13" i="58"/>
  <c r="J17" i="58" s="1"/>
  <c r="I13" i="58"/>
  <c r="I17" i="58" s="1"/>
  <c r="G13" i="58"/>
  <c r="G17" i="58" s="1"/>
  <c r="K7" i="59"/>
  <c r="M66" i="57" l="1"/>
  <c r="M64" i="57"/>
  <c r="G51" i="2"/>
  <c r="K66" i="57"/>
  <c r="K64" i="57"/>
  <c r="K32" i="52"/>
  <c r="K32" i="53" s="1"/>
  <c r="F16" i="61" s="1"/>
  <c r="I21" i="2"/>
  <c r="H22" i="10"/>
  <c r="H52" i="10" s="1"/>
  <c r="H51" i="2"/>
  <c r="G38" i="53"/>
  <c r="P32" i="53"/>
  <c r="T20" i="61"/>
  <c r="Y20" i="61" s="1"/>
  <c r="H14" i="62" s="1"/>
  <c r="K52" i="2"/>
  <c r="K53" i="10" s="1"/>
  <c r="J53" i="10"/>
  <c r="M10" i="63"/>
  <c r="E11" i="62"/>
  <c r="L49" i="60"/>
  <c r="L50" i="60" s="1"/>
  <c r="L49" i="53"/>
  <c r="L50" i="52"/>
  <c r="L35" i="61"/>
  <c r="L33" i="61"/>
  <c r="K32" i="61"/>
  <c r="K33" i="61" s="1"/>
  <c r="L32" i="53"/>
  <c r="E16" i="61" s="1"/>
  <c r="L32" i="60"/>
  <c r="M11" i="63"/>
  <c r="E12" i="62"/>
  <c r="M14" i="63"/>
  <c r="E15" i="62"/>
  <c r="N27" i="61"/>
  <c r="N35" i="61" s="1"/>
  <c r="J16" i="63"/>
  <c r="I57" i="4"/>
  <c r="I50" i="4"/>
  <c r="K20" i="4"/>
  <c r="K19" i="4" s="1"/>
  <c r="J19" i="4"/>
  <c r="G37" i="52"/>
  <c r="Y32" i="61"/>
  <c r="H24" i="62" s="1"/>
  <c r="H25" i="62" s="1"/>
  <c r="Y16" i="61"/>
  <c r="H10" i="62" s="1"/>
  <c r="J10" i="62" s="1"/>
  <c r="P9" i="63"/>
  <c r="K38" i="60"/>
  <c r="M38" i="60" s="1"/>
  <c r="M32" i="52"/>
  <c r="H29" i="42"/>
  <c r="E15" i="45" s="1"/>
  <c r="F15" i="45" s="1"/>
  <c r="N29" i="42"/>
  <c r="I26" i="10"/>
  <c r="J25" i="2"/>
  <c r="L10" i="59"/>
  <c r="M10" i="59"/>
  <c r="N10" i="59"/>
  <c r="O10" i="59"/>
  <c r="K9" i="59"/>
  <c r="L9" i="59" s="1"/>
  <c r="L12" i="59"/>
  <c r="P12" i="59" s="1"/>
  <c r="N12" i="59"/>
  <c r="N12" i="58"/>
  <c r="L12" i="58"/>
  <c r="O12" i="58"/>
  <c r="M12" i="58"/>
  <c r="P12" i="58"/>
  <c r="N7" i="58"/>
  <c r="L7" i="58"/>
  <c r="O7" i="58"/>
  <c r="M7" i="58"/>
  <c r="O9" i="59"/>
  <c r="M11" i="59"/>
  <c r="N11" i="59"/>
  <c r="O11" i="59"/>
  <c r="L11" i="59"/>
  <c r="H13" i="59"/>
  <c r="H17" i="59" s="1"/>
  <c r="J13" i="59"/>
  <c r="J17" i="59" s="1"/>
  <c r="G13" i="59"/>
  <c r="G17" i="59" s="1"/>
  <c r="E35" i="59"/>
  <c r="M8" i="59"/>
  <c r="N8" i="59"/>
  <c r="O8" i="59"/>
  <c r="L8" i="59"/>
  <c r="I13" i="59"/>
  <c r="I17" i="59" s="1"/>
  <c r="M15" i="59"/>
  <c r="N15" i="59"/>
  <c r="O15" i="59"/>
  <c r="L15" i="59"/>
  <c r="N15" i="58"/>
  <c r="M15" i="58"/>
  <c r="L15" i="58"/>
  <c r="O15" i="58"/>
  <c r="Y21" i="61"/>
  <c r="H15" i="62" s="1"/>
  <c r="I38" i="60"/>
  <c r="E32" i="51"/>
  <c r="R32" i="51" s="1"/>
  <c r="E32" i="52" s="1"/>
  <c r="R32" i="52" s="1"/>
  <c r="P32" i="51"/>
  <c r="C50" i="52"/>
  <c r="P49" i="52"/>
  <c r="P50" i="52" s="1"/>
  <c r="I16" i="62"/>
  <c r="P15" i="63"/>
  <c r="P49" i="51"/>
  <c r="P50" i="51" s="1"/>
  <c r="E49" i="51"/>
  <c r="C50" i="51"/>
  <c r="M40" i="52"/>
  <c r="K40" i="60"/>
  <c r="M40" i="60" s="1"/>
  <c r="K40" i="53"/>
  <c r="G13" i="47"/>
  <c r="L7" i="43"/>
  <c r="T7" i="43"/>
  <c r="K7" i="43"/>
  <c r="V7" i="43"/>
  <c r="W12" i="61" s="1"/>
  <c r="F21" i="42"/>
  <c r="Q21" i="42" s="1"/>
  <c r="G13" i="46"/>
  <c r="G13" i="45" s="1"/>
  <c r="N7" i="43"/>
  <c r="S7" i="43"/>
  <c r="T10" i="61" s="1"/>
  <c r="U7" i="43"/>
  <c r="V10" i="61" s="1"/>
  <c r="Q7" i="43"/>
  <c r="R11" i="61" s="1"/>
  <c r="O7" i="43"/>
  <c r="P10" i="61" s="1"/>
  <c r="R7" i="43"/>
  <c r="S10" i="61" s="1"/>
  <c r="M7" i="43"/>
  <c r="H23" i="43"/>
  <c r="G16" i="46" s="1"/>
  <c r="G16" i="45" s="1"/>
  <c r="P7" i="43"/>
  <c r="Q30" i="61"/>
  <c r="Y29" i="61"/>
  <c r="H22" i="62" s="1"/>
  <c r="I37" i="52"/>
  <c r="F36" i="56" s="1"/>
  <c r="P40" i="53"/>
  <c r="H25" i="61"/>
  <c r="I37" i="51"/>
  <c r="K37" i="51"/>
  <c r="K37" i="52" s="1"/>
  <c r="M37" i="52" s="1"/>
  <c r="Y22" i="61"/>
  <c r="H16" i="62" s="1"/>
  <c r="G36" i="53"/>
  <c r="K13" i="63" s="1"/>
  <c r="L13" i="63" s="1"/>
  <c r="G36" i="60"/>
  <c r="C38" i="52"/>
  <c r="P38" i="52" s="1"/>
  <c r="C38" i="51"/>
  <c r="C38" i="53"/>
  <c r="C38" i="60"/>
  <c r="P38" i="60" s="1"/>
  <c r="C36" i="52"/>
  <c r="P36" i="52" s="1"/>
  <c r="C36" i="51"/>
  <c r="C36" i="60"/>
  <c r="P36" i="60" s="1"/>
  <c r="C36" i="53"/>
  <c r="I35" i="52"/>
  <c r="F34" i="56" s="1"/>
  <c r="G41" i="51"/>
  <c r="K41" i="51" s="1"/>
  <c r="K41" i="52" s="1"/>
  <c r="M41" i="52" s="1"/>
  <c r="Q26" i="61"/>
  <c r="F25" i="46"/>
  <c r="E24" i="44" s="1"/>
  <c r="F24" i="44" s="1"/>
  <c r="G49" i="52"/>
  <c r="P49" i="60"/>
  <c r="P50" i="60" s="1"/>
  <c r="C50" i="60"/>
  <c r="Y19" i="61"/>
  <c r="H13" i="62" s="1"/>
  <c r="G36" i="51"/>
  <c r="C35" i="51"/>
  <c r="E18" i="47"/>
  <c r="F18" i="47" s="1"/>
  <c r="D18" i="44" s="1"/>
  <c r="C35" i="52"/>
  <c r="P35" i="52" s="1"/>
  <c r="C35" i="53"/>
  <c r="C35" i="60"/>
  <c r="P35" i="60" s="1"/>
  <c r="M40" i="53"/>
  <c r="K39" i="56" s="1"/>
  <c r="F25" i="61"/>
  <c r="V26" i="61"/>
  <c r="R26" i="61"/>
  <c r="M27" i="42"/>
  <c r="I27" i="42"/>
  <c r="R27" i="42"/>
  <c r="G27" i="42"/>
  <c r="J27" i="42"/>
  <c r="P27" i="42"/>
  <c r="N27" i="42"/>
  <c r="H27" i="42"/>
  <c r="L27" i="42"/>
  <c r="Q27" i="42"/>
  <c r="K27" i="42"/>
  <c r="O27" i="42"/>
  <c r="G37" i="60"/>
  <c r="G37" i="53"/>
  <c r="K38" i="53"/>
  <c r="F23" i="61" s="1"/>
  <c r="E18" i="46"/>
  <c r="F18" i="46" s="1"/>
  <c r="G18" i="45"/>
  <c r="E18" i="45" s="1"/>
  <c r="F18" i="45" s="1"/>
  <c r="I36" i="52"/>
  <c r="F35" i="56" s="1"/>
  <c r="I35" i="51"/>
  <c r="K35" i="51"/>
  <c r="K35" i="52" s="1"/>
  <c r="M35" i="52" s="1"/>
  <c r="H32" i="61"/>
  <c r="C50" i="53"/>
  <c r="P49" i="53"/>
  <c r="P50" i="53" s="1"/>
  <c r="C37" i="53"/>
  <c r="C37" i="52"/>
  <c r="C37" i="51"/>
  <c r="E37" i="51" s="1"/>
  <c r="R37" i="51" s="1"/>
  <c r="E37" i="52" s="1"/>
  <c r="R37" i="52" s="1"/>
  <c r="C37" i="60"/>
  <c r="P37" i="60" s="1"/>
  <c r="R24" i="42"/>
  <c r="L24" i="42"/>
  <c r="O24" i="42"/>
  <c r="I24" i="42"/>
  <c r="P40" i="51"/>
  <c r="E40" i="51"/>
  <c r="R40" i="51" s="1"/>
  <c r="E40" i="52" s="1"/>
  <c r="R40" i="52" s="1"/>
  <c r="G35" i="53"/>
  <c r="K12" i="63" s="1"/>
  <c r="L12" i="63" s="1"/>
  <c r="G35" i="60"/>
  <c r="E37" i="56"/>
  <c r="M38" i="51"/>
  <c r="K23" i="61"/>
  <c r="Y23" i="61"/>
  <c r="H17" i="62" s="1"/>
  <c r="E23" i="61"/>
  <c r="K26" i="61"/>
  <c r="M27" i="61"/>
  <c r="M35" i="61" s="1"/>
  <c r="L41" i="60"/>
  <c r="L42" i="60" s="1"/>
  <c r="L52" i="60" s="1"/>
  <c r="L41" i="53"/>
  <c r="L42" i="52"/>
  <c r="L52" i="52" s="1"/>
  <c r="E22" i="47"/>
  <c r="F22" i="47" s="1"/>
  <c r="D21" i="44" s="1"/>
  <c r="C39" i="60"/>
  <c r="P39" i="60" s="1"/>
  <c r="C39" i="52"/>
  <c r="P39" i="52" s="1"/>
  <c r="C39" i="51"/>
  <c r="C39" i="53"/>
  <c r="I39" i="52"/>
  <c r="F38" i="56" s="1"/>
  <c r="E22" i="46"/>
  <c r="F22" i="46" s="1"/>
  <c r="G22" i="45"/>
  <c r="E22" i="45" s="1"/>
  <c r="F22" i="45" s="1"/>
  <c r="K39" i="51"/>
  <c r="K39" i="52" s="1"/>
  <c r="M39" i="52" s="1"/>
  <c r="I39" i="51"/>
  <c r="G39" i="53"/>
  <c r="K17" i="63" s="1"/>
  <c r="L17" i="63" s="1"/>
  <c r="G39" i="60"/>
  <c r="Y24" i="61"/>
  <c r="H18" i="62" s="1"/>
  <c r="G41" i="60"/>
  <c r="G41" i="53"/>
  <c r="K19" i="63" s="1"/>
  <c r="L19" i="63" s="1"/>
  <c r="I41" i="52"/>
  <c r="F40" i="56" s="1"/>
  <c r="G24" i="45"/>
  <c r="E24" i="45" s="1"/>
  <c r="F24" i="45" s="1"/>
  <c r="E24" i="46"/>
  <c r="F24" i="46" s="1"/>
  <c r="C41" i="51"/>
  <c r="C41" i="53"/>
  <c r="C41" i="52"/>
  <c r="P41" i="52" s="1"/>
  <c r="C41" i="60"/>
  <c r="P41" i="60" s="1"/>
  <c r="E24" i="47"/>
  <c r="W11" i="61"/>
  <c r="P12" i="61"/>
  <c r="T27" i="43"/>
  <c r="U27" i="43"/>
  <c r="O27" i="43"/>
  <c r="P27" i="43"/>
  <c r="N27" i="43"/>
  <c r="S27" i="43"/>
  <c r="K27" i="43"/>
  <c r="Q27" i="43"/>
  <c r="F26" i="42"/>
  <c r="L27" i="43"/>
  <c r="G17" i="47"/>
  <c r="R27" i="43"/>
  <c r="H25" i="43"/>
  <c r="M27" i="43"/>
  <c r="G17" i="46"/>
  <c r="V27" i="43"/>
  <c r="G19" i="2"/>
  <c r="H23" i="39"/>
  <c r="H16" i="39" s="1"/>
  <c r="H15" i="39" s="1"/>
  <c r="K13" i="58"/>
  <c r="N7" i="59"/>
  <c r="L7" i="59"/>
  <c r="M7" i="59"/>
  <c r="O7" i="59"/>
  <c r="G20" i="2" l="1"/>
  <c r="H54" i="39"/>
  <c r="M32" i="53"/>
  <c r="K31" i="56" s="1"/>
  <c r="K32" i="60"/>
  <c r="M32" i="60" s="1"/>
  <c r="I38" i="53"/>
  <c r="G37" i="56" s="1"/>
  <c r="K16" i="63"/>
  <c r="L16" i="63" s="1"/>
  <c r="J21" i="2"/>
  <c r="I51" i="2"/>
  <c r="I22" i="10"/>
  <c r="I52" i="10" s="1"/>
  <c r="Y33" i="61"/>
  <c r="L50" i="53"/>
  <c r="E32" i="61"/>
  <c r="AA16" i="61"/>
  <c r="E10" i="62"/>
  <c r="M9" i="63"/>
  <c r="K27" i="61"/>
  <c r="K35" i="61" s="1"/>
  <c r="E17" i="62"/>
  <c r="E21" i="62" s="1"/>
  <c r="M16" i="63"/>
  <c r="J50" i="4"/>
  <c r="J55" i="4" s="1"/>
  <c r="J57" i="4"/>
  <c r="K57" i="4"/>
  <c r="K50" i="4"/>
  <c r="K55" i="4" s="1"/>
  <c r="I55" i="4"/>
  <c r="Q50" i="4"/>
  <c r="S11" i="61"/>
  <c r="E15" i="46"/>
  <c r="F15" i="46" s="1"/>
  <c r="E15" i="44" s="1"/>
  <c r="F15" i="44" s="1"/>
  <c r="H15" i="44" s="1"/>
  <c r="AA22" i="61"/>
  <c r="S12" i="61"/>
  <c r="S9" i="61" s="1"/>
  <c r="S14" i="61" s="1"/>
  <c r="P13" i="61"/>
  <c r="P21" i="42"/>
  <c r="P11" i="61"/>
  <c r="R23" i="43"/>
  <c r="S17" i="61" s="1"/>
  <c r="L23" i="43"/>
  <c r="G33" i="52" s="1"/>
  <c r="I33" i="52" s="1"/>
  <c r="F32" i="56" s="1"/>
  <c r="K25" i="2"/>
  <c r="K26" i="10" s="1"/>
  <c r="J26" i="10"/>
  <c r="P15" i="58"/>
  <c r="R10" i="61"/>
  <c r="R13" i="61"/>
  <c r="V13" i="61"/>
  <c r="R12" i="61"/>
  <c r="T13" i="61"/>
  <c r="T12" i="61"/>
  <c r="N9" i="59"/>
  <c r="K13" i="59"/>
  <c r="T11" i="61"/>
  <c r="W10" i="61"/>
  <c r="M9" i="59"/>
  <c r="P9" i="59" s="1"/>
  <c r="P10" i="59"/>
  <c r="P8" i="59"/>
  <c r="P11" i="59"/>
  <c r="P7" i="58"/>
  <c r="P15" i="59"/>
  <c r="P23" i="43"/>
  <c r="Q17" i="61" s="1"/>
  <c r="G16" i="47"/>
  <c r="C33" i="52" s="1"/>
  <c r="P33" i="52" s="1"/>
  <c r="S13" i="61"/>
  <c r="Q11" i="61"/>
  <c r="O13" i="61"/>
  <c r="N23" i="43"/>
  <c r="O17" i="61" s="1"/>
  <c r="Q23" i="43"/>
  <c r="R17" i="61" s="1"/>
  <c r="P7" i="59"/>
  <c r="K23" i="43"/>
  <c r="G33" i="51" s="1"/>
  <c r="K33" i="51" s="1"/>
  <c r="V11" i="61"/>
  <c r="V23" i="43"/>
  <c r="W17" i="61" s="1"/>
  <c r="W13" i="61"/>
  <c r="E32" i="60"/>
  <c r="R32" i="60" s="1"/>
  <c r="E32" i="53"/>
  <c r="R32" i="53" s="1"/>
  <c r="J16" i="62"/>
  <c r="E21" i="44"/>
  <c r="F21" i="44" s="1"/>
  <c r="H21" i="44" s="1"/>
  <c r="N16" i="63"/>
  <c r="O16" i="63" s="1"/>
  <c r="F17" i="62"/>
  <c r="G17" i="62" s="1"/>
  <c r="Y26" i="61"/>
  <c r="H20" i="62" s="1"/>
  <c r="AA25" i="61"/>
  <c r="P18" i="63"/>
  <c r="I19" i="62"/>
  <c r="J19" i="62" s="1"/>
  <c r="P21" i="63"/>
  <c r="I24" i="62"/>
  <c r="G25" i="61"/>
  <c r="F19" i="62"/>
  <c r="G19" i="62" s="1"/>
  <c r="N18" i="63"/>
  <c r="O18" i="63" s="1"/>
  <c r="E50" i="51"/>
  <c r="R49" i="51"/>
  <c r="H23" i="62"/>
  <c r="J22" i="62"/>
  <c r="J23" i="62" s="1"/>
  <c r="G16" i="61"/>
  <c r="F10" i="62"/>
  <c r="N9" i="63"/>
  <c r="O9" i="63" s="1"/>
  <c r="J21" i="42"/>
  <c r="M38" i="53"/>
  <c r="K37" i="56" s="1"/>
  <c r="H21" i="42"/>
  <c r="G21" i="42"/>
  <c r="G20" i="51" s="1"/>
  <c r="L21" i="42"/>
  <c r="K21" i="42"/>
  <c r="P9" i="61"/>
  <c r="P14" i="61" s="1"/>
  <c r="I21" i="42"/>
  <c r="G22" i="60" s="1"/>
  <c r="R21" i="42"/>
  <c r="O21" i="42"/>
  <c r="G23" i="61"/>
  <c r="N21" i="42"/>
  <c r="E18" i="44"/>
  <c r="F18" i="44" s="1"/>
  <c r="I37" i="53"/>
  <c r="G36" i="56" s="1"/>
  <c r="K37" i="53"/>
  <c r="Q10" i="61"/>
  <c r="K37" i="60"/>
  <c r="M37" i="60" s="1"/>
  <c r="I37" i="60"/>
  <c r="E36" i="56"/>
  <c r="M37" i="51"/>
  <c r="Q13" i="61"/>
  <c r="F30" i="42"/>
  <c r="G30" i="42" s="1"/>
  <c r="E16" i="47" s="1"/>
  <c r="F16" i="47" s="1"/>
  <c r="D16" i="44" s="1"/>
  <c r="P38" i="53"/>
  <c r="H23" i="61"/>
  <c r="AA23" i="61" s="1"/>
  <c r="Q12" i="61"/>
  <c r="H16" i="43"/>
  <c r="H15" i="43" s="1"/>
  <c r="H54" i="43" s="1"/>
  <c r="M23" i="43"/>
  <c r="M54" i="43" s="1"/>
  <c r="M21" i="42"/>
  <c r="V12" i="61"/>
  <c r="O11" i="61"/>
  <c r="H24" i="44"/>
  <c r="E37" i="53"/>
  <c r="R37" i="53" s="1"/>
  <c r="E37" i="60"/>
  <c r="R37" i="60" s="1"/>
  <c r="P38" i="51"/>
  <c r="E38" i="51"/>
  <c r="R38" i="51" s="1"/>
  <c r="E38" i="52" s="1"/>
  <c r="R38" i="52" s="1"/>
  <c r="AA32" i="61"/>
  <c r="AA33" i="61" s="1"/>
  <c r="H33" i="61"/>
  <c r="P35" i="51"/>
  <c r="E35" i="51"/>
  <c r="R35" i="51" s="1"/>
  <c r="E35" i="52" s="1"/>
  <c r="R35" i="52" s="1"/>
  <c r="E40" i="60"/>
  <c r="R40" i="60" s="1"/>
  <c r="E40" i="53"/>
  <c r="R40" i="53" s="1"/>
  <c r="I36" i="51"/>
  <c r="K36" i="51"/>
  <c r="K36" i="52" s="1"/>
  <c r="M36" i="52" s="1"/>
  <c r="T23" i="43"/>
  <c r="U17" i="61" s="1"/>
  <c r="O10" i="61"/>
  <c r="E34" i="56"/>
  <c r="M35" i="51"/>
  <c r="E19" i="46"/>
  <c r="F19" i="46" s="1"/>
  <c r="E19" i="44" s="1"/>
  <c r="E19" i="45"/>
  <c r="F19" i="45" s="1"/>
  <c r="U23" i="43"/>
  <c r="V17" i="61" s="1"/>
  <c r="S23" i="43"/>
  <c r="T17" i="61" s="1"/>
  <c r="O12" i="61"/>
  <c r="I35" i="60"/>
  <c r="K35" i="60"/>
  <c r="M35" i="60" s="1"/>
  <c r="K35" i="53"/>
  <c r="I35" i="53"/>
  <c r="G34" i="56" s="1"/>
  <c r="P37" i="53"/>
  <c r="H21" i="61"/>
  <c r="H19" i="61"/>
  <c r="P35" i="53"/>
  <c r="K49" i="52"/>
  <c r="I49" i="52"/>
  <c r="G50" i="52"/>
  <c r="H20" i="61"/>
  <c r="P36" i="53"/>
  <c r="K36" i="60"/>
  <c r="M36" i="60" s="1"/>
  <c r="I36" i="60"/>
  <c r="U12" i="61"/>
  <c r="U13" i="61"/>
  <c r="U11" i="61"/>
  <c r="U10" i="61"/>
  <c r="I41" i="51"/>
  <c r="E40" i="56" s="1"/>
  <c r="I36" i="53"/>
  <c r="G35" i="56" s="1"/>
  <c r="Y30" i="61"/>
  <c r="AA29" i="61"/>
  <c r="AA30" i="61" s="1"/>
  <c r="O23" i="43"/>
  <c r="P17" i="61" s="1"/>
  <c r="P36" i="51"/>
  <c r="E36" i="51"/>
  <c r="R36" i="51" s="1"/>
  <c r="E36" i="52" s="1"/>
  <c r="R36" i="52" s="1"/>
  <c r="L42" i="53"/>
  <c r="L52" i="53" s="1"/>
  <c r="E26" i="61"/>
  <c r="E27" i="61" s="1"/>
  <c r="H24" i="61"/>
  <c r="P39" i="53"/>
  <c r="P39" i="51"/>
  <c r="E39" i="51"/>
  <c r="R39" i="51" s="1"/>
  <c r="E39" i="52" s="1"/>
  <c r="R39" i="52" s="1"/>
  <c r="M39" i="51"/>
  <c r="E38" i="56"/>
  <c r="K39" i="60"/>
  <c r="M39" i="60" s="1"/>
  <c r="I39" i="60"/>
  <c r="I39" i="53"/>
  <c r="G38" i="56" s="1"/>
  <c r="K39" i="53"/>
  <c r="E41" i="51"/>
  <c r="R41" i="51" s="1"/>
  <c r="E41" i="52" s="1"/>
  <c r="R41" i="52" s="1"/>
  <c r="P41" i="51"/>
  <c r="P41" i="53"/>
  <c r="H26" i="61"/>
  <c r="I41" i="53"/>
  <c r="G40" i="56" s="1"/>
  <c r="K41" i="53"/>
  <c r="E30" i="47"/>
  <c r="F24" i="47"/>
  <c r="D23" i="44" s="1"/>
  <c r="I41" i="60"/>
  <c r="K41" i="60"/>
  <c r="M41" i="60" s="1"/>
  <c r="G22" i="53"/>
  <c r="K8" i="63" s="1"/>
  <c r="G19" i="53"/>
  <c r="K5" i="63" s="1"/>
  <c r="G21" i="60"/>
  <c r="G21" i="53"/>
  <c r="K7" i="63" s="1"/>
  <c r="G14" i="51"/>
  <c r="G19" i="51"/>
  <c r="E13" i="45"/>
  <c r="F13" i="45" s="1"/>
  <c r="G21" i="51"/>
  <c r="G22" i="52"/>
  <c r="O18" i="61"/>
  <c r="C34" i="52"/>
  <c r="C34" i="51"/>
  <c r="C34" i="53"/>
  <c r="C34" i="60"/>
  <c r="E17" i="47"/>
  <c r="P18" i="61"/>
  <c r="W18" i="61"/>
  <c r="R18" i="61"/>
  <c r="G34" i="51"/>
  <c r="S18" i="61"/>
  <c r="S27" i="61" s="1"/>
  <c r="S35" i="61" s="1"/>
  <c r="Q18" i="61"/>
  <c r="G34" i="52"/>
  <c r="V18" i="61"/>
  <c r="G17" i="45"/>
  <c r="E17" i="46"/>
  <c r="G27" i="46"/>
  <c r="G34" i="53"/>
  <c r="K11" i="63" s="1"/>
  <c r="L11" i="63" s="1"/>
  <c r="G34" i="60"/>
  <c r="T18" i="61"/>
  <c r="G26" i="42"/>
  <c r="O26" i="42"/>
  <c r="K26" i="42"/>
  <c r="M26" i="42"/>
  <c r="I26" i="42"/>
  <c r="H26" i="42"/>
  <c r="L26" i="42"/>
  <c r="N26" i="42"/>
  <c r="J26" i="42"/>
  <c r="R26" i="42"/>
  <c r="P26" i="42"/>
  <c r="Q26" i="42"/>
  <c r="U18" i="61"/>
  <c r="G21" i="10"/>
  <c r="H20" i="2"/>
  <c r="H19" i="2"/>
  <c r="G20" i="10"/>
  <c r="G18" i="2"/>
  <c r="N13" i="58"/>
  <c r="N17" i="58" s="1"/>
  <c r="O13" i="58"/>
  <c r="O17" i="58" s="1"/>
  <c r="K17" i="58"/>
  <c r="L13" i="58"/>
  <c r="L17" i="58" s="1"/>
  <c r="M13" i="58"/>
  <c r="M17" i="58" s="1"/>
  <c r="O13" i="59"/>
  <c r="O17" i="59" s="1"/>
  <c r="K17" i="59"/>
  <c r="N13" i="59"/>
  <c r="N17" i="59" s="1"/>
  <c r="M13" i="59"/>
  <c r="M17" i="59" s="1"/>
  <c r="L13" i="59"/>
  <c r="L17" i="59" s="1"/>
  <c r="H56" i="39" l="1"/>
  <c r="H55" i="39"/>
  <c r="H56" i="43"/>
  <c r="H55" i="43"/>
  <c r="J22" i="10"/>
  <c r="J52" i="10" s="1"/>
  <c r="K21" i="2"/>
  <c r="J51" i="2"/>
  <c r="W27" i="61"/>
  <c r="W35" i="61" s="1"/>
  <c r="W37" i="61" s="1"/>
  <c r="W39" i="61" s="1"/>
  <c r="C33" i="51"/>
  <c r="P33" i="51" s="1"/>
  <c r="M21" i="63"/>
  <c r="E24" i="62"/>
  <c r="E25" i="62" s="1"/>
  <c r="E33" i="61"/>
  <c r="E35" i="61"/>
  <c r="W9" i="61"/>
  <c r="W14" i="61" s="1"/>
  <c r="C33" i="60"/>
  <c r="P33" i="60" s="1"/>
  <c r="I33" i="51"/>
  <c r="G27" i="47"/>
  <c r="C33" i="53"/>
  <c r="H17" i="61" s="1"/>
  <c r="R54" i="43"/>
  <c r="T9" i="61"/>
  <c r="T14" i="61" s="1"/>
  <c r="N54" i="43"/>
  <c r="P54" i="43"/>
  <c r="V9" i="61"/>
  <c r="V14" i="61" s="1"/>
  <c r="K33" i="52"/>
  <c r="M33" i="52" s="1"/>
  <c r="R9" i="61"/>
  <c r="R14" i="61" s="1"/>
  <c r="L54" i="43"/>
  <c r="Q27" i="61"/>
  <c r="Q35" i="61" s="1"/>
  <c r="G14" i="60"/>
  <c r="J30" i="42"/>
  <c r="J22" i="42" s="1"/>
  <c r="J37" i="42" s="1"/>
  <c r="J66" i="42" s="1"/>
  <c r="Q30" i="42"/>
  <c r="Q22" i="42" s="1"/>
  <c r="Q37" i="42" s="1"/>
  <c r="Q66" i="42" s="1"/>
  <c r="L30" i="42"/>
  <c r="L22" i="42" s="1"/>
  <c r="L37" i="42" s="1"/>
  <c r="L66" i="42" s="1"/>
  <c r="H30" i="42"/>
  <c r="H22" i="42" s="1"/>
  <c r="H37" i="42" s="1"/>
  <c r="H66" i="42" s="1"/>
  <c r="P27" i="61"/>
  <c r="P35" i="61" s="1"/>
  <c r="P37" i="61" s="1"/>
  <c r="P39" i="61" s="1"/>
  <c r="P30" i="42"/>
  <c r="P22" i="42" s="1"/>
  <c r="P37" i="42" s="1"/>
  <c r="F22" i="42"/>
  <c r="F37" i="42" s="1"/>
  <c r="F59" i="42" s="1"/>
  <c r="F64" i="42" s="1"/>
  <c r="G22" i="51"/>
  <c r="G24" i="51" s="1"/>
  <c r="M30" i="42"/>
  <c r="M22" i="42" s="1"/>
  <c r="M37" i="42" s="1"/>
  <c r="K54" i="43"/>
  <c r="E13" i="47"/>
  <c r="F13" i="47" s="1"/>
  <c r="D13" i="44" s="1"/>
  <c r="N30" i="42"/>
  <c r="N22" i="42" s="1"/>
  <c r="N37" i="42" s="1"/>
  <c r="N59" i="42" s="1"/>
  <c r="N64" i="42" s="1"/>
  <c r="G33" i="53"/>
  <c r="K10" i="63" s="1"/>
  <c r="L10" i="63" s="1"/>
  <c r="S54" i="43"/>
  <c r="O54" i="43"/>
  <c r="V54" i="43"/>
  <c r="T54" i="43"/>
  <c r="Q54" i="43"/>
  <c r="T27" i="61"/>
  <c r="T35" i="61" s="1"/>
  <c r="T37" i="61" s="1"/>
  <c r="T39" i="61" s="1"/>
  <c r="U54" i="43"/>
  <c r="S37" i="61"/>
  <c r="S39" i="61" s="1"/>
  <c r="G20" i="53"/>
  <c r="K6" i="63" s="1"/>
  <c r="I30" i="42"/>
  <c r="G33" i="60"/>
  <c r="G42" i="60" s="1"/>
  <c r="R27" i="61"/>
  <c r="R35" i="61" s="1"/>
  <c r="R30" i="42"/>
  <c r="R22" i="42" s="1"/>
  <c r="R37" i="42" s="1"/>
  <c r="R66" i="42" s="1"/>
  <c r="E13" i="46"/>
  <c r="F13" i="46" s="1"/>
  <c r="O30" i="42"/>
  <c r="O22" i="42" s="1"/>
  <c r="O37" i="42" s="1"/>
  <c r="G20" i="52"/>
  <c r="AA20" i="61"/>
  <c r="I14" i="62"/>
  <c r="J14" i="62" s="1"/>
  <c r="P13" i="63"/>
  <c r="E49" i="52"/>
  <c r="R50" i="51"/>
  <c r="AA24" i="61"/>
  <c r="I18" i="62"/>
  <c r="J18" i="62" s="1"/>
  <c r="P17" i="63"/>
  <c r="AA26" i="61"/>
  <c r="P19" i="63"/>
  <c r="I20" i="62"/>
  <c r="J20" i="62" s="1"/>
  <c r="G14" i="52"/>
  <c r="G20" i="60"/>
  <c r="G19" i="60"/>
  <c r="K30" i="42"/>
  <c r="K22" i="42" s="1"/>
  <c r="K37" i="42" s="1"/>
  <c r="K59" i="42" s="1"/>
  <c r="K64" i="42" s="1"/>
  <c r="AA19" i="61"/>
  <c r="P12" i="63"/>
  <c r="I13" i="62"/>
  <c r="J13" i="62" s="1"/>
  <c r="Y17" i="61"/>
  <c r="H11" i="62" s="1"/>
  <c r="G10" i="62"/>
  <c r="G19" i="52"/>
  <c r="P16" i="63"/>
  <c r="I17" i="62"/>
  <c r="J17" i="62" s="1"/>
  <c r="G22" i="42"/>
  <c r="G37" i="42" s="1"/>
  <c r="G66" i="42" s="1"/>
  <c r="M41" i="51"/>
  <c r="G21" i="52"/>
  <c r="G14" i="53"/>
  <c r="K4" i="63" s="1"/>
  <c r="AA21" i="61"/>
  <c r="I15" i="62"/>
  <c r="P14" i="63"/>
  <c r="J24" i="62"/>
  <c r="J25" i="62" s="1"/>
  <c r="I25" i="62"/>
  <c r="H18" i="44"/>
  <c r="K36" i="53"/>
  <c r="F20" i="61" s="1"/>
  <c r="Q9" i="61"/>
  <c r="Q14" i="61" s="1"/>
  <c r="U9" i="61"/>
  <c r="U14" i="61" s="1"/>
  <c r="U27" i="61"/>
  <c r="U35" i="61" s="1"/>
  <c r="F19" i="44"/>
  <c r="H19" i="44" s="1"/>
  <c r="F19" i="61"/>
  <c r="M35" i="53"/>
  <c r="K34" i="56" s="1"/>
  <c r="I50" i="52"/>
  <c r="F48" i="56"/>
  <c r="F49" i="56" s="1"/>
  <c r="E35" i="53"/>
  <c r="R35" i="53" s="1"/>
  <c r="E35" i="60"/>
  <c r="R35" i="60" s="1"/>
  <c r="E36" i="53"/>
  <c r="R36" i="53" s="1"/>
  <c r="E36" i="60"/>
  <c r="R36" i="60" s="1"/>
  <c r="K50" i="52"/>
  <c r="M49" i="52"/>
  <c r="M50" i="52" s="1"/>
  <c r="G49" i="60"/>
  <c r="G49" i="53"/>
  <c r="M37" i="53"/>
  <c r="K36" i="56" s="1"/>
  <c r="F21" i="61"/>
  <c r="E35" i="56"/>
  <c r="M36" i="51"/>
  <c r="V27" i="61"/>
  <c r="V35" i="61" s="1"/>
  <c r="O9" i="61"/>
  <c r="O14" i="61" s="1"/>
  <c r="E38" i="53"/>
  <c r="R38" i="53" s="1"/>
  <c r="E38" i="60"/>
  <c r="R38" i="60" s="1"/>
  <c r="E39" i="60"/>
  <c r="R39" i="60" s="1"/>
  <c r="E39" i="53"/>
  <c r="R39" i="53" s="1"/>
  <c r="F24" i="61"/>
  <c r="M39" i="53"/>
  <c r="K38" i="56" s="1"/>
  <c r="E23" i="44"/>
  <c r="F23" i="44" s="1"/>
  <c r="F26" i="61"/>
  <c r="M41" i="53"/>
  <c r="K40" i="56" s="1"/>
  <c r="E41" i="60"/>
  <c r="R41" i="60" s="1"/>
  <c r="E41" i="53"/>
  <c r="R41" i="53" s="1"/>
  <c r="K22" i="51"/>
  <c r="K22" i="52" s="1"/>
  <c r="G16" i="60"/>
  <c r="K21" i="51"/>
  <c r="K21" i="52" s="1"/>
  <c r="K21" i="53" s="1"/>
  <c r="K20" i="51"/>
  <c r="K19" i="51"/>
  <c r="G16" i="52"/>
  <c r="E32" i="56"/>
  <c r="M33" i="51"/>
  <c r="K14" i="51"/>
  <c r="K16" i="51" s="1"/>
  <c r="G16" i="51"/>
  <c r="F17" i="47"/>
  <c r="D17" i="44" s="1"/>
  <c r="K34" i="51"/>
  <c r="K42" i="51" s="1"/>
  <c r="G42" i="51"/>
  <c r="I34" i="51"/>
  <c r="P34" i="60"/>
  <c r="C42" i="60"/>
  <c r="C52" i="60" s="1"/>
  <c r="I34" i="60"/>
  <c r="H18" i="61"/>
  <c r="P34" i="53"/>
  <c r="I34" i="52"/>
  <c r="F33" i="56" s="1"/>
  <c r="F41" i="56" s="1"/>
  <c r="G42" i="52"/>
  <c r="G42" i="53"/>
  <c r="I34" i="53"/>
  <c r="G33" i="56" s="1"/>
  <c r="P34" i="51"/>
  <c r="E34" i="51"/>
  <c r="C42" i="51"/>
  <c r="C52" i="51" s="1"/>
  <c r="C42" i="52"/>
  <c r="C52" i="52" s="1"/>
  <c r="P34" i="52"/>
  <c r="P42" i="52" s="1"/>
  <c r="P52" i="52" s="1"/>
  <c r="F17" i="46"/>
  <c r="E17" i="45"/>
  <c r="G27" i="45"/>
  <c r="O27" i="61"/>
  <c r="O35" i="61" s="1"/>
  <c r="Y18" i="61"/>
  <c r="G19" i="10"/>
  <c r="G56" i="2"/>
  <c r="G49" i="2"/>
  <c r="H20" i="10"/>
  <c r="H18" i="2"/>
  <c r="I19" i="2"/>
  <c r="I20" i="2"/>
  <c r="H21" i="10"/>
  <c r="P13" i="58"/>
  <c r="P17" i="58" s="1"/>
  <c r="P13" i="59"/>
  <c r="P17" i="59" s="1"/>
  <c r="P42" i="60" l="1"/>
  <c r="P52" i="60" s="1"/>
  <c r="M36" i="53"/>
  <c r="K35" i="56" s="1"/>
  <c r="C42" i="53"/>
  <c r="C52" i="53" s="1"/>
  <c r="E33" i="51"/>
  <c r="R33" i="51" s="1"/>
  <c r="E33" i="52" s="1"/>
  <c r="R33" i="52" s="1"/>
  <c r="I33" i="53"/>
  <c r="G32" i="56" s="1"/>
  <c r="K22" i="10"/>
  <c r="K52" i="10" s="1"/>
  <c r="K51" i="2"/>
  <c r="K33" i="53"/>
  <c r="M33" i="53" s="1"/>
  <c r="K32" i="56" s="1"/>
  <c r="K20" i="52"/>
  <c r="P33" i="53"/>
  <c r="P42" i="53" s="1"/>
  <c r="P52" i="53" s="1"/>
  <c r="E13" i="44"/>
  <c r="F13" i="44" s="1"/>
  <c r="H13" i="44" s="1"/>
  <c r="Q37" i="61"/>
  <c r="Q39" i="61" s="1"/>
  <c r="G24" i="60"/>
  <c r="V37" i="61"/>
  <c r="V39" i="61" s="1"/>
  <c r="E27" i="47"/>
  <c r="F27" i="47" s="1"/>
  <c r="E16" i="45"/>
  <c r="F16" i="45" s="1"/>
  <c r="R37" i="61"/>
  <c r="R39" i="61" s="1"/>
  <c r="G24" i="52"/>
  <c r="R59" i="42"/>
  <c r="R64" i="42" s="1"/>
  <c r="Q59" i="42"/>
  <c r="Q64" i="42" s="1"/>
  <c r="E16" i="46"/>
  <c r="F16" i="46" s="1"/>
  <c r="E16" i="44" s="1"/>
  <c r="I22" i="42"/>
  <c r="I37" i="42" s="1"/>
  <c r="I66" i="42" s="1"/>
  <c r="F66" i="42"/>
  <c r="O58" i="43"/>
  <c r="G59" i="42"/>
  <c r="G64" i="42" s="1"/>
  <c r="M59" i="42"/>
  <c r="M64" i="42" s="1"/>
  <c r="M66" i="42"/>
  <c r="P59" i="42"/>
  <c r="P64" i="42" s="1"/>
  <c r="P66" i="42"/>
  <c r="K58" i="43"/>
  <c r="G16" i="53"/>
  <c r="T58" i="43"/>
  <c r="P58" i="43"/>
  <c r="M58" i="43"/>
  <c r="O59" i="42"/>
  <c r="O64" i="42" s="1"/>
  <c r="O66" i="42"/>
  <c r="Q58" i="43"/>
  <c r="L58" i="43"/>
  <c r="G54" i="2"/>
  <c r="K33" i="60"/>
  <c r="M33" i="60" s="1"/>
  <c r="V58" i="43"/>
  <c r="I33" i="60"/>
  <c r="L59" i="42"/>
  <c r="L64" i="42" s="1"/>
  <c r="R58" i="43"/>
  <c r="N58" i="43"/>
  <c r="U58" i="43"/>
  <c r="G24" i="53"/>
  <c r="S58" i="43"/>
  <c r="K34" i="52"/>
  <c r="K34" i="53" s="1"/>
  <c r="U37" i="61"/>
  <c r="U39" i="61" s="1"/>
  <c r="G26" i="52"/>
  <c r="H20" i="52" s="1"/>
  <c r="M11" i="61" s="1"/>
  <c r="E50" i="52"/>
  <c r="R49" i="52"/>
  <c r="H59" i="42"/>
  <c r="H64" i="42" s="1"/>
  <c r="N66" i="42"/>
  <c r="G26" i="61"/>
  <c r="N19" i="63"/>
  <c r="O19" i="63" s="1"/>
  <c r="F20" i="62"/>
  <c r="G20" i="62" s="1"/>
  <c r="G20" i="61"/>
  <c r="F14" i="62"/>
  <c r="G14" i="62" s="1"/>
  <c r="N13" i="63"/>
  <c r="O13" i="63" s="1"/>
  <c r="Y27" i="61"/>
  <c r="Y35" i="61" s="1"/>
  <c r="H12" i="62"/>
  <c r="H21" i="62" s="1"/>
  <c r="G21" i="61"/>
  <c r="N14" i="63"/>
  <c r="O14" i="63" s="1"/>
  <c r="F15" i="62"/>
  <c r="G15" i="62" s="1"/>
  <c r="G19" i="61"/>
  <c r="F13" i="62"/>
  <c r="G13" i="62" s="1"/>
  <c r="N12" i="63"/>
  <c r="O12" i="63" s="1"/>
  <c r="J15" i="62"/>
  <c r="P11" i="63"/>
  <c r="I12" i="62"/>
  <c r="AA17" i="61"/>
  <c r="P10" i="63"/>
  <c r="I11" i="62"/>
  <c r="J11" i="62" s="1"/>
  <c r="G24" i="61"/>
  <c r="N17" i="63"/>
  <c r="O17" i="63" s="1"/>
  <c r="F18" i="62"/>
  <c r="G18" i="62" s="1"/>
  <c r="K22" i="63"/>
  <c r="O37" i="61"/>
  <c r="O39" i="61" s="1"/>
  <c r="P42" i="51"/>
  <c r="P52" i="51" s="1"/>
  <c r="G41" i="56"/>
  <c r="F51" i="56"/>
  <c r="K14" i="52"/>
  <c r="K14" i="60" s="1"/>
  <c r="K16" i="60" s="1"/>
  <c r="G50" i="53"/>
  <c r="G52" i="53" s="1"/>
  <c r="I49" i="53"/>
  <c r="K49" i="53"/>
  <c r="J59" i="42"/>
  <c r="J64" i="42" s="1"/>
  <c r="I49" i="60"/>
  <c r="I50" i="60" s="1"/>
  <c r="G50" i="60"/>
  <c r="G52" i="60" s="1"/>
  <c r="K49" i="60"/>
  <c r="G26" i="51"/>
  <c r="C22" i="51" s="1"/>
  <c r="G26" i="60"/>
  <c r="C15" i="60" s="1"/>
  <c r="P15" i="60" s="1"/>
  <c r="E17" i="44"/>
  <c r="H23" i="44"/>
  <c r="K66" i="42"/>
  <c r="F12" i="61"/>
  <c r="K22" i="60"/>
  <c r="K22" i="53"/>
  <c r="K20" i="60"/>
  <c r="K20" i="53"/>
  <c r="K21" i="60"/>
  <c r="E33" i="53"/>
  <c r="R33" i="53" s="1"/>
  <c r="E33" i="60"/>
  <c r="R33" i="60" s="1"/>
  <c r="K24" i="51"/>
  <c r="K26" i="51" s="1"/>
  <c r="K19" i="52"/>
  <c r="E42" i="51"/>
  <c r="E52" i="51" s="1"/>
  <c r="R34" i="51"/>
  <c r="M42" i="51"/>
  <c r="M52" i="51" s="1"/>
  <c r="K52" i="51"/>
  <c r="H27" i="61"/>
  <c r="H35" i="61" s="1"/>
  <c r="AA18" i="61"/>
  <c r="I42" i="60"/>
  <c r="F17" i="45"/>
  <c r="I42" i="52"/>
  <c r="I52" i="52" s="1"/>
  <c r="G52" i="52"/>
  <c r="I42" i="53"/>
  <c r="D26" i="44"/>
  <c r="G52" i="51"/>
  <c r="G54" i="51" s="1"/>
  <c r="G59" i="51" s="1"/>
  <c r="I42" i="51"/>
  <c r="I52" i="51" s="1"/>
  <c r="M34" i="51"/>
  <c r="E33" i="56"/>
  <c r="E41" i="56" s="1"/>
  <c r="E51" i="56" s="1"/>
  <c r="H49" i="2"/>
  <c r="H54" i="2" s="1"/>
  <c r="H56" i="2"/>
  <c r="I21" i="10"/>
  <c r="J20" i="2"/>
  <c r="I20" i="10"/>
  <c r="I18" i="2"/>
  <c r="J19" i="2"/>
  <c r="H19" i="10"/>
  <c r="G50" i="10"/>
  <c r="G55" i="10" s="1"/>
  <c r="G57" i="10"/>
  <c r="K42" i="53" l="1"/>
  <c r="K34" i="60"/>
  <c r="F17" i="61"/>
  <c r="E27" i="45"/>
  <c r="F27" i="45" s="1"/>
  <c r="AA27" i="61"/>
  <c r="AA35" i="61" s="1"/>
  <c r="F16" i="44"/>
  <c r="H16" i="44" s="1"/>
  <c r="G26" i="53"/>
  <c r="H21" i="53" s="1"/>
  <c r="E27" i="46"/>
  <c r="F27" i="46" s="1"/>
  <c r="G54" i="52"/>
  <c r="G59" i="52" s="1"/>
  <c r="E26" i="44"/>
  <c r="I59" i="42"/>
  <c r="I64" i="42" s="1"/>
  <c r="F18" i="61"/>
  <c r="N11" i="63" s="1"/>
  <c r="O11" i="63" s="1"/>
  <c r="M34" i="52"/>
  <c r="M34" i="53"/>
  <c r="K33" i="56" s="1"/>
  <c r="K41" i="56" s="1"/>
  <c r="K42" i="52"/>
  <c r="M42" i="52" s="1"/>
  <c r="M52" i="52" s="1"/>
  <c r="H15" i="51"/>
  <c r="I15" i="51" s="1"/>
  <c r="C21" i="51"/>
  <c r="E21" i="51" s="1"/>
  <c r="C20" i="52"/>
  <c r="P20" i="52" s="1"/>
  <c r="I20" i="52"/>
  <c r="F19" i="56" s="1"/>
  <c r="H15" i="52"/>
  <c r="H22" i="52"/>
  <c r="M13" i="61" s="1"/>
  <c r="C22" i="52"/>
  <c r="P22" i="52" s="1"/>
  <c r="C19" i="52"/>
  <c r="P19" i="52" s="1"/>
  <c r="C14" i="52"/>
  <c r="P14" i="52" s="1"/>
  <c r="P16" i="52" s="1"/>
  <c r="C15" i="52"/>
  <c r="P15" i="52" s="1"/>
  <c r="H19" i="52"/>
  <c r="I19" i="52" s="1"/>
  <c r="F18" i="56" s="1"/>
  <c r="I21" i="62"/>
  <c r="H14" i="52"/>
  <c r="I14" i="52" s="1"/>
  <c r="H21" i="52"/>
  <c r="I21" i="52" s="1"/>
  <c r="C21" i="52"/>
  <c r="P21" i="52" s="1"/>
  <c r="H20" i="60"/>
  <c r="I20" i="60" s="1"/>
  <c r="H15" i="60"/>
  <c r="I15" i="60" s="1"/>
  <c r="C14" i="60"/>
  <c r="P14" i="60" s="1"/>
  <c r="P16" i="60" s="1"/>
  <c r="H20" i="51"/>
  <c r="L11" i="61" s="1"/>
  <c r="C14" i="51"/>
  <c r="P14" i="51" s="1"/>
  <c r="C15" i="51"/>
  <c r="E15" i="51" s="1"/>
  <c r="R50" i="52"/>
  <c r="E49" i="60"/>
  <c r="E49" i="53"/>
  <c r="K16" i="52"/>
  <c r="F7" i="62"/>
  <c r="N7" i="63"/>
  <c r="G17" i="61"/>
  <c r="F11" i="62"/>
  <c r="N10" i="63"/>
  <c r="O10" i="63" s="1"/>
  <c r="K14" i="53"/>
  <c r="K16" i="53" s="1"/>
  <c r="J12" i="62"/>
  <c r="J21" i="62" s="1"/>
  <c r="F17" i="44"/>
  <c r="H17" i="44" s="1"/>
  <c r="C22" i="60"/>
  <c r="P22" i="60" s="1"/>
  <c r="C20" i="60"/>
  <c r="P20" i="60" s="1"/>
  <c r="M49" i="60"/>
  <c r="M50" i="60" s="1"/>
  <c r="K50" i="60"/>
  <c r="F32" i="61"/>
  <c r="K50" i="53"/>
  <c r="K52" i="53" s="1"/>
  <c r="M49" i="53"/>
  <c r="I52" i="60"/>
  <c r="H22" i="60"/>
  <c r="I22" i="60" s="1"/>
  <c r="C19" i="60"/>
  <c r="P19" i="60" s="1"/>
  <c r="H14" i="60"/>
  <c r="H21" i="60"/>
  <c r="I21" i="60" s="1"/>
  <c r="C21" i="60"/>
  <c r="P21" i="60" s="1"/>
  <c r="H19" i="60"/>
  <c r="I50" i="53"/>
  <c r="I52" i="53" s="1"/>
  <c r="G48" i="56"/>
  <c r="G49" i="56" s="1"/>
  <c r="G51" i="56" s="1"/>
  <c r="H22" i="51"/>
  <c r="H14" i="51"/>
  <c r="C20" i="51"/>
  <c r="H19" i="51"/>
  <c r="C19" i="51"/>
  <c r="H21" i="51"/>
  <c r="C20" i="53"/>
  <c r="C19" i="53"/>
  <c r="K24" i="52"/>
  <c r="K19" i="60"/>
  <c r="K19" i="53"/>
  <c r="F13" i="61"/>
  <c r="E22" i="51"/>
  <c r="P22" i="51"/>
  <c r="F11" i="61"/>
  <c r="K54" i="51"/>
  <c r="K59" i="51" s="1"/>
  <c r="G18" i="61"/>
  <c r="K42" i="60"/>
  <c r="M34" i="60"/>
  <c r="E34" i="52"/>
  <c r="R42" i="51"/>
  <c r="R52" i="51" s="1"/>
  <c r="M42" i="53"/>
  <c r="G56" i="60"/>
  <c r="G54" i="60"/>
  <c r="J18" i="2"/>
  <c r="K19" i="2"/>
  <c r="J20" i="10"/>
  <c r="I49" i="2"/>
  <c r="I56" i="2"/>
  <c r="H57" i="10"/>
  <c r="H50" i="10"/>
  <c r="H55" i="10" s="1"/>
  <c r="I19" i="10"/>
  <c r="K20" i="2"/>
  <c r="K21" i="10" s="1"/>
  <c r="J21" i="10"/>
  <c r="F12" i="62" l="1"/>
  <c r="G12" i="62" s="1"/>
  <c r="F27" i="61"/>
  <c r="H26" i="44"/>
  <c r="H15" i="53"/>
  <c r="G54" i="53"/>
  <c r="G59" i="53" s="1"/>
  <c r="C15" i="53"/>
  <c r="P15" i="53" s="1"/>
  <c r="C22" i="53"/>
  <c r="C21" i="53"/>
  <c r="H14" i="53"/>
  <c r="N9" i="61" s="1"/>
  <c r="J4" i="63" s="1"/>
  <c r="H22" i="53"/>
  <c r="I22" i="53" s="1"/>
  <c r="G21" i="56" s="1"/>
  <c r="P21" i="51"/>
  <c r="I20" i="51"/>
  <c r="H20" i="53"/>
  <c r="C14" i="53"/>
  <c r="C16" i="60"/>
  <c r="L20" i="51"/>
  <c r="L20" i="52" s="1"/>
  <c r="M20" i="52" s="1"/>
  <c r="H19" i="53"/>
  <c r="N10" i="61" s="1"/>
  <c r="J5" i="63" s="1"/>
  <c r="L5" i="63" s="1"/>
  <c r="M12" i="61"/>
  <c r="R15" i="51"/>
  <c r="E15" i="52" s="1"/>
  <c r="R15" i="52" s="1"/>
  <c r="E15" i="60" s="1"/>
  <c r="R15" i="60" s="1"/>
  <c r="H16" i="52"/>
  <c r="L15" i="51"/>
  <c r="L15" i="52" s="1"/>
  <c r="H24" i="52"/>
  <c r="K26" i="52"/>
  <c r="P24" i="52"/>
  <c r="P26" i="52" s="1"/>
  <c r="P54" i="52" s="1"/>
  <c r="P59" i="52" s="1"/>
  <c r="K52" i="52"/>
  <c r="I15" i="52"/>
  <c r="F14" i="56" s="1"/>
  <c r="M9" i="61"/>
  <c r="R22" i="51"/>
  <c r="E22" i="52" s="1"/>
  <c r="R22" i="52" s="1"/>
  <c r="E22" i="60" s="1"/>
  <c r="R22" i="60" s="1"/>
  <c r="I22" i="52"/>
  <c r="F21" i="56" s="1"/>
  <c r="C24" i="52"/>
  <c r="G27" i="61"/>
  <c r="P15" i="51"/>
  <c r="M10" i="61"/>
  <c r="C16" i="52"/>
  <c r="E14" i="51"/>
  <c r="R14" i="51" s="1"/>
  <c r="F9" i="61"/>
  <c r="F2" i="62" s="1"/>
  <c r="I54" i="2"/>
  <c r="F26" i="44"/>
  <c r="C16" i="51"/>
  <c r="R49" i="53"/>
  <c r="R50" i="53" s="1"/>
  <c r="E50" i="53"/>
  <c r="R21" i="51"/>
  <c r="E21" i="52" s="1"/>
  <c r="R21" i="52" s="1"/>
  <c r="E21" i="60" s="1"/>
  <c r="R21" i="60" s="1"/>
  <c r="R49" i="60"/>
  <c r="R50" i="60" s="1"/>
  <c r="E50" i="60"/>
  <c r="F6" i="62"/>
  <c r="N8" i="63"/>
  <c r="C24" i="51"/>
  <c r="F24" i="62"/>
  <c r="N21" i="63"/>
  <c r="O21" i="63" s="1"/>
  <c r="H24" i="51"/>
  <c r="F3" i="62"/>
  <c r="N6" i="63"/>
  <c r="P24" i="60"/>
  <c r="P26" i="60" s="1"/>
  <c r="P56" i="60" s="1"/>
  <c r="G11" i="62"/>
  <c r="G21" i="62" s="1"/>
  <c r="F21" i="62"/>
  <c r="C24" i="60"/>
  <c r="C26" i="60" s="1"/>
  <c r="C56" i="60" s="1"/>
  <c r="I21" i="51"/>
  <c r="L12" i="61"/>
  <c r="L21" i="51"/>
  <c r="L21" i="52" s="1"/>
  <c r="L21" i="60" s="1"/>
  <c r="M21" i="60" s="1"/>
  <c r="I19" i="60"/>
  <c r="I24" i="60" s="1"/>
  <c r="H24" i="60"/>
  <c r="K48" i="56"/>
  <c r="K49" i="56" s="1"/>
  <c r="K51" i="56" s="1"/>
  <c r="M50" i="53"/>
  <c r="M52" i="53" s="1"/>
  <c r="E19" i="51"/>
  <c r="R19" i="51" s="1"/>
  <c r="E19" i="52" s="1"/>
  <c r="P19" i="51"/>
  <c r="I19" i="51"/>
  <c r="L19" i="51"/>
  <c r="L19" i="52" s="1"/>
  <c r="L19" i="60" s="1"/>
  <c r="L10" i="61"/>
  <c r="F33" i="61"/>
  <c r="F35" i="61" s="1"/>
  <c r="G32" i="61"/>
  <c r="G33" i="61" s="1"/>
  <c r="P20" i="51"/>
  <c r="E20" i="51"/>
  <c r="R20" i="51" s="1"/>
  <c r="E20" i="52" s="1"/>
  <c r="R20" i="52" s="1"/>
  <c r="I14" i="60"/>
  <c r="I16" i="60" s="1"/>
  <c r="H16" i="60"/>
  <c r="H16" i="51"/>
  <c r="L9" i="61"/>
  <c r="I14" i="51"/>
  <c r="I16" i="51" s="1"/>
  <c r="L14" i="51"/>
  <c r="L14" i="52" s="1"/>
  <c r="L13" i="61"/>
  <c r="L22" i="51"/>
  <c r="L22" i="52" s="1"/>
  <c r="L22" i="60" s="1"/>
  <c r="M22" i="60" s="1"/>
  <c r="I22" i="51"/>
  <c r="H11" i="61"/>
  <c r="P20" i="53"/>
  <c r="P14" i="53"/>
  <c r="P16" i="53" s="1"/>
  <c r="H9" i="61"/>
  <c r="C16" i="53"/>
  <c r="E19" i="56"/>
  <c r="M20" i="51"/>
  <c r="F20" i="56"/>
  <c r="F10" i="61"/>
  <c r="K24" i="53"/>
  <c r="K26" i="53" s="1"/>
  <c r="K54" i="53" s="1"/>
  <c r="K59" i="53" s="1"/>
  <c r="N12" i="61"/>
  <c r="J7" i="63" s="1"/>
  <c r="L7" i="63" s="1"/>
  <c r="I21" i="53"/>
  <c r="G20" i="56" s="1"/>
  <c r="N11" i="61"/>
  <c r="I20" i="53"/>
  <c r="G19" i="56" s="1"/>
  <c r="F13" i="56"/>
  <c r="K24" i="60"/>
  <c r="K26" i="60" s="1"/>
  <c r="P19" i="53"/>
  <c r="C24" i="53"/>
  <c r="H10" i="61"/>
  <c r="I15" i="53"/>
  <c r="G14" i="56" s="1"/>
  <c r="M15" i="51"/>
  <c r="E14" i="56"/>
  <c r="P22" i="53"/>
  <c r="H13" i="61"/>
  <c r="P21" i="53"/>
  <c r="H12" i="61"/>
  <c r="P16" i="51"/>
  <c r="J19" i="10"/>
  <c r="J50" i="10" s="1"/>
  <c r="J55" i="10" s="1"/>
  <c r="M42" i="60"/>
  <c r="M52" i="60" s="1"/>
  <c r="K52" i="60"/>
  <c r="R34" i="52"/>
  <c r="E42" i="52"/>
  <c r="E52" i="52" s="1"/>
  <c r="K20" i="10"/>
  <c r="K19" i="10" s="1"/>
  <c r="K18" i="2"/>
  <c r="I50" i="10"/>
  <c r="I55" i="10" s="1"/>
  <c r="I57" i="10"/>
  <c r="J49" i="2"/>
  <c r="J54" i="2" s="1"/>
  <c r="J56" i="2"/>
  <c r="I14" i="53" l="1"/>
  <c r="M14" i="61"/>
  <c r="M37" i="61" s="1"/>
  <c r="M39" i="61" s="1"/>
  <c r="H16" i="53"/>
  <c r="I16" i="52"/>
  <c r="L20" i="53"/>
  <c r="N13" i="61"/>
  <c r="Y13" i="61" s="1"/>
  <c r="H6" i="62" s="1"/>
  <c r="H24" i="53"/>
  <c r="H26" i="53" s="1"/>
  <c r="H54" i="53" s="1"/>
  <c r="H59" i="53" s="1"/>
  <c r="I19" i="53"/>
  <c r="I24" i="53" s="1"/>
  <c r="E15" i="53"/>
  <c r="R15" i="53" s="1"/>
  <c r="E21" i="53"/>
  <c r="R21" i="53" s="1"/>
  <c r="L16" i="51"/>
  <c r="J57" i="10"/>
  <c r="F15" i="56"/>
  <c r="F25" i="56" s="1"/>
  <c r="F53" i="56" s="1"/>
  <c r="F58" i="56" s="1"/>
  <c r="L20" i="60"/>
  <c r="M20" i="60" s="1"/>
  <c r="L22" i="53"/>
  <c r="M22" i="53" s="1"/>
  <c r="K21" i="56" s="1"/>
  <c r="K54" i="52"/>
  <c r="K59" i="52" s="1"/>
  <c r="L15" i="53"/>
  <c r="M15" i="53" s="1"/>
  <c r="K14" i="56" s="1"/>
  <c r="M15" i="52"/>
  <c r="L15" i="60"/>
  <c r="M15" i="60" s="1"/>
  <c r="I24" i="52"/>
  <c r="I26" i="52" s="1"/>
  <c r="I54" i="52" s="1"/>
  <c r="I59" i="52" s="1"/>
  <c r="F23" i="56"/>
  <c r="H26" i="52"/>
  <c r="H54" i="52" s="1"/>
  <c r="H59" i="52" s="1"/>
  <c r="N4" i="63"/>
  <c r="E16" i="51"/>
  <c r="L16" i="52"/>
  <c r="G35" i="61"/>
  <c r="E22" i="53"/>
  <c r="R22" i="53" s="1"/>
  <c r="C26" i="52"/>
  <c r="C54" i="52" s="1"/>
  <c r="C59" i="52" s="1"/>
  <c r="C26" i="51"/>
  <c r="C54" i="51" s="1"/>
  <c r="C59" i="51" s="1"/>
  <c r="P54" i="60"/>
  <c r="P24" i="51"/>
  <c r="P26" i="51" s="1"/>
  <c r="P54" i="51" s="1"/>
  <c r="P59" i="51" s="1"/>
  <c r="H26" i="60"/>
  <c r="H56" i="60" s="1"/>
  <c r="P6" i="63"/>
  <c r="I3" i="62"/>
  <c r="L4" i="63"/>
  <c r="M19" i="52"/>
  <c r="H26" i="51"/>
  <c r="H54" i="51" s="1"/>
  <c r="H59" i="51" s="1"/>
  <c r="I7" i="62"/>
  <c r="P7" i="63"/>
  <c r="I6" i="62"/>
  <c r="P8" i="63"/>
  <c r="F25" i="62"/>
  <c r="G24" i="62"/>
  <c r="G25" i="62" s="1"/>
  <c r="M14" i="52"/>
  <c r="P5" i="63"/>
  <c r="I4" i="62"/>
  <c r="K11" i="61"/>
  <c r="J6" i="63"/>
  <c r="L6" i="63" s="1"/>
  <c r="N5" i="63"/>
  <c r="F4" i="62"/>
  <c r="F9" i="62" s="1"/>
  <c r="F26" i="62" s="1"/>
  <c r="F32" i="62" s="1"/>
  <c r="I2" i="62"/>
  <c r="P4" i="63"/>
  <c r="L14" i="53"/>
  <c r="E9" i="61" s="1"/>
  <c r="L21" i="53"/>
  <c r="E12" i="61" s="1"/>
  <c r="L14" i="60"/>
  <c r="M14" i="60" s="1"/>
  <c r="L14" i="61"/>
  <c r="L37" i="61" s="1"/>
  <c r="L39" i="61" s="1"/>
  <c r="I24" i="51"/>
  <c r="I26" i="51" s="1"/>
  <c r="I54" i="51" s="1"/>
  <c r="I59" i="51" s="1"/>
  <c r="I26" i="60"/>
  <c r="I56" i="60" s="1"/>
  <c r="E21" i="56"/>
  <c r="M22" i="51"/>
  <c r="M22" i="52"/>
  <c r="E20" i="56"/>
  <c r="M21" i="51"/>
  <c r="E18" i="56"/>
  <c r="M19" i="51"/>
  <c r="L24" i="51"/>
  <c r="L26" i="51" s="1"/>
  <c r="L54" i="51" s="1"/>
  <c r="L59" i="51" s="1"/>
  <c r="L24" i="52"/>
  <c r="M21" i="52"/>
  <c r="L19" i="53"/>
  <c r="M19" i="53" s="1"/>
  <c r="E24" i="51"/>
  <c r="M14" i="51"/>
  <c r="M16" i="51" s="1"/>
  <c r="E13" i="56"/>
  <c r="E15" i="56" s="1"/>
  <c r="E20" i="53"/>
  <c r="R20" i="53" s="1"/>
  <c r="E20" i="60"/>
  <c r="R20" i="60" s="1"/>
  <c r="R24" i="51"/>
  <c r="E11" i="61"/>
  <c r="M20" i="53"/>
  <c r="K19" i="56" s="1"/>
  <c r="F14" i="61"/>
  <c r="F37" i="61" s="1"/>
  <c r="F39" i="61" s="1"/>
  <c r="Y11" i="61"/>
  <c r="P24" i="53"/>
  <c r="P26" i="53" s="1"/>
  <c r="P54" i="53" s="1"/>
  <c r="P59" i="53" s="1"/>
  <c r="R16" i="51"/>
  <c r="E14" i="52"/>
  <c r="G18" i="56"/>
  <c r="G23" i="56" s="1"/>
  <c r="M19" i="60"/>
  <c r="C26" i="53"/>
  <c r="C54" i="53" s="1"/>
  <c r="C59" i="53" s="1"/>
  <c r="E24" i="52"/>
  <c r="R19" i="52"/>
  <c r="K9" i="61"/>
  <c r="K12" i="61"/>
  <c r="Y12" i="61"/>
  <c r="I16" i="53"/>
  <c r="G13" i="56"/>
  <c r="G15" i="56" s="1"/>
  <c r="K10" i="61"/>
  <c r="Y10" i="61"/>
  <c r="H14" i="61"/>
  <c r="H37" i="61" s="1"/>
  <c r="H39" i="61" s="1"/>
  <c r="Y9" i="61"/>
  <c r="H2" i="62" s="1"/>
  <c r="R42" i="52"/>
  <c r="R52" i="52" s="1"/>
  <c r="E34" i="53"/>
  <c r="E34" i="60"/>
  <c r="K54" i="60"/>
  <c r="K56" i="60"/>
  <c r="K56" i="2"/>
  <c r="K49" i="2"/>
  <c r="K54" i="2" s="1"/>
  <c r="K57" i="10"/>
  <c r="K50" i="10"/>
  <c r="K55" i="10" s="1"/>
  <c r="K13" i="61" l="1"/>
  <c r="N14" i="61"/>
  <c r="N37" i="61" s="1"/>
  <c r="N39" i="61" s="1"/>
  <c r="J8" i="63"/>
  <c r="L8" i="63" s="1"/>
  <c r="L22" i="63" s="1"/>
  <c r="L24" i="60"/>
  <c r="E13" i="61"/>
  <c r="E6" i="62" s="1"/>
  <c r="G6" i="62" s="1"/>
  <c r="M24" i="60"/>
  <c r="M16" i="60"/>
  <c r="AA13" i="61"/>
  <c r="L26" i="52"/>
  <c r="L54" i="52" s="1"/>
  <c r="L59" i="52" s="1"/>
  <c r="M16" i="52"/>
  <c r="E26" i="51"/>
  <c r="E54" i="51" s="1"/>
  <c r="E59" i="51" s="1"/>
  <c r="M24" i="51"/>
  <c r="M26" i="51" s="1"/>
  <c r="M54" i="51" s="1"/>
  <c r="M59" i="51" s="1"/>
  <c r="H54" i="60"/>
  <c r="I54" i="60" s="1"/>
  <c r="Q49" i="2"/>
  <c r="L16" i="60"/>
  <c r="L26" i="60" s="1"/>
  <c r="L54" i="60" s="1"/>
  <c r="M54" i="60" s="1"/>
  <c r="P22" i="63"/>
  <c r="J2" i="62"/>
  <c r="E2" i="62"/>
  <c r="M4" i="63"/>
  <c r="G12" i="61"/>
  <c r="E7" i="62"/>
  <c r="G7" i="62" s="1"/>
  <c r="M7" i="63"/>
  <c r="O7" i="63" s="1"/>
  <c r="G13" i="61"/>
  <c r="M8" i="63"/>
  <c r="O8" i="63" s="1"/>
  <c r="AA11" i="61"/>
  <c r="H3" i="62"/>
  <c r="J3" i="62" s="1"/>
  <c r="AA10" i="61"/>
  <c r="H4" i="62"/>
  <c r="L16" i="53"/>
  <c r="AA12" i="61"/>
  <c r="H7" i="62"/>
  <c r="J7" i="62" s="1"/>
  <c r="N22" i="63"/>
  <c r="I9" i="62"/>
  <c r="I26" i="62" s="1"/>
  <c r="I32" i="62" s="1"/>
  <c r="J22" i="63"/>
  <c r="M21" i="53"/>
  <c r="K20" i="56" s="1"/>
  <c r="M14" i="53"/>
  <c r="M16" i="53" s="1"/>
  <c r="E23" i="56"/>
  <c r="E25" i="56" s="1"/>
  <c r="E53" i="56" s="1"/>
  <c r="E58" i="56" s="1"/>
  <c r="J6" i="62"/>
  <c r="G11" i="61"/>
  <c r="M6" i="63"/>
  <c r="O6" i="63" s="1"/>
  <c r="E3" i="62"/>
  <c r="G3" i="62" s="1"/>
  <c r="L24" i="53"/>
  <c r="R26" i="51"/>
  <c r="R54" i="51" s="1"/>
  <c r="R59" i="51" s="1"/>
  <c r="E10" i="61"/>
  <c r="M24" i="52"/>
  <c r="K14" i="61"/>
  <c r="K37" i="61" s="1"/>
  <c r="K39" i="61" s="1"/>
  <c r="R14" i="52"/>
  <c r="E16" i="52"/>
  <c r="E26" i="52" s="1"/>
  <c r="E54" i="52" s="1"/>
  <c r="E59" i="52" s="1"/>
  <c r="G9" i="61"/>
  <c r="R24" i="52"/>
  <c r="E19" i="60"/>
  <c r="E19" i="53"/>
  <c r="G25" i="56"/>
  <c r="G53" i="56" s="1"/>
  <c r="G58" i="56" s="1"/>
  <c r="I26" i="53"/>
  <c r="I54" i="53" s="1"/>
  <c r="I59" i="53" s="1"/>
  <c r="Y14" i="61"/>
  <c r="Y37" i="61" s="1"/>
  <c r="Y39" i="61" s="1"/>
  <c r="K18" i="56"/>
  <c r="AA9" i="61"/>
  <c r="E42" i="60"/>
  <c r="E52" i="60" s="1"/>
  <c r="R34" i="60"/>
  <c r="R42" i="60" s="1"/>
  <c r="R52" i="60" s="1"/>
  <c r="R34" i="53"/>
  <c r="R42" i="53" s="1"/>
  <c r="R52" i="53" s="1"/>
  <c r="E42" i="53"/>
  <c r="E52" i="53" s="1"/>
  <c r="M26" i="60" l="1"/>
  <c r="M56" i="60" s="1"/>
  <c r="K13" i="56"/>
  <c r="K15" i="56" s="1"/>
  <c r="M26" i="52"/>
  <c r="M54" i="52" s="1"/>
  <c r="M59" i="52" s="1"/>
  <c r="L56" i="60"/>
  <c r="H9" i="62"/>
  <c r="H26" i="62" s="1"/>
  <c r="H32" i="62" s="1"/>
  <c r="K23" i="56"/>
  <c r="M24" i="53"/>
  <c r="M26" i="53" s="1"/>
  <c r="M54" i="53" s="1"/>
  <c r="M59" i="53" s="1"/>
  <c r="L26" i="53"/>
  <c r="L54" i="53" s="1"/>
  <c r="L59" i="53" s="1"/>
  <c r="J4" i="62"/>
  <c r="J9" i="62" s="1"/>
  <c r="J26" i="62" s="1"/>
  <c r="J32" i="62" s="1"/>
  <c r="G10" i="61"/>
  <c r="G14" i="61" s="1"/>
  <c r="G37" i="61" s="1"/>
  <c r="G39" i="61" s="1"/>
  <c r="M5" i="63"/>
  <c r="O5" i="63" s="1"/>
  <c r="E4" i="62"/>
  <c r="G4" i="62" s="1"/>
  <c r="E14" i="61"/>
  <c r="E37" i="61" s="1"/>
  <c r="E39" i="61" s="1"/>
  <c r="O4" i="63"/>
  <c r="AA14" i="61"/>
  <c r="AA37" i="61" s="1"/>
  <c r="AA39" i="61" s="1"/>
  <c r="G2" i="62"/>
  <c r="E24" i="60"/>
  <c r="R19" i="60"/>
  <c r="R24" i="60" s="1"/>
  <c r="R16" i="52"/>
  <c r="R26" i="52" s="1"/>
  <c r="R54" i="52" s="1"/>
  <c r="R59" i="52" s="1"/>
  <c r="E14" i="53"/>
  <c r="E14" i="60"/>
  <c r="R19" i="53"/>
  <c r="R24" i="53" s="1"/>
  <c r="E24" i="53"/>
  <c r="K25" i="56" l="1"/>
  <c r="K53" i="56" s="1"/>
  <c r="K58" i="56" s="1"/>
  <c r="O22" i="63"/>
  <c r="M22" i="63"/>
  <c r="E9" i="62"/>
  <c r="E26" i="62" s="1"/>
  <c r="E32" i="62" s="1"/>
  <c r="G9" i="62"/>
  <c r="G26" i="62" s="1"/>
  <c r="G32" i="62" s="1"/>
  <c r="E16" i="60"/>
  <c r="E26" i="60" s="1"/>
  <c r="E56" i="60" s="1"/>
  <c r="R14" i="60"/>
  <c r="R16" i="60" s="1"/>
  <c r="R26" i="60" s="1"/>
  <c r="R14" i="53"/>
  <c r="R16" i="53" s="1"/>
  <c r="R26" i="53" s="1"/>
  <c r="R54" i="53" s="1"/>
  <c r="R59" i="53" s="1"/>
  <c r="E16" i="53"/>
  <c r="E26" i="53" s="1"/>
  <c r="E54" i="53" s="1"/>
  <c r="E59" i="53" s="1"/>
  <c r="R54" i="60" l="1"/>
  <c r="R56" i="60"/>
</calcChain>
</file>

<file path=xl/sharedStrings.xml><?xml version="1.0" encoding="utf-8"?>
<sst xmlns="http://schemas.openxmlformats.org/spreadsheetml/2006/main" count="3289" uniqueCount="664">
  <si>
    <t>As at</t>
  </si>
  <si>
    <t>DIVISION:</t>
  </si>
  <si>
    <t>2004-05</t>
  </si>
  <si>
    <t>2005-06</t>
  </si>
  <si>
    <t>2006-07</t>
  </si>
  <si>
    <t>2007-08</t>
  </si>
  <si>
    <t>Revenue</t>
  </si>
  <si>
    <t>Other revenue</t>
  </si>
  <si>
    <t>Expenses</t>
  </si>
  <si>
    <t>Depreciation</t>
  </si>
  <si>
    <t>Other expenses</t>
  </si>
  <si>
    <t>Net cost of services</t>
  </si>
  <si>
    <t>Remove</t>
  </si>
  <si>
    <t>depreciation</t>
  </si>
  <si>
    <t>Add</t>
  </si>
  <si>
    <t>Capital expenditure</t>
  </si>
  <si>
    <t>Initiative</t>
  </si>
  <si>
    <t>formula</t>
  </si>
  <si>
    <t>Variation</t>
  </si>
  <si>
    <t>Intra govt transfers</t>
  </si>
  <si>
    <t>Commonwealth Revenue</t>
  </si>
  <si>
    <t>Grants and subsidies</t>
  </si>
  <si>
    <t>Fees, fines and penalties</t>
  </si>
  <si>
    <t>Sales of goods and services</t>
  </si>
  <si>
    <t>Interest</t>
  </si>
  <si>
    <t>Employee expenses</t>
  </si>
  <si>
    <t>supplies and services</t>
  </si>
  <si>
    <t>Borrowing costs</t>
  </si>
  <si>
    <t>Expenditure Authority</t>
  </si>
  <si>
    <t>Internal (PIRSA) revenue</t>
  </si>
  <si>
    <t>Internal (PIRSA) expenses</t>
  </si>
  <si>
    <t>BIO SECURITY</t>
  </si>
  <si>
    <t>JOURNAL</t>
  </si>
  <si>
    <t>2008-09</t>
  </si>
  <si>
    <t>User fees and charges</t>
  </si>
  <si>
    <t>Base</t>
  </si>
  <si>
    <t>Non base initiatives</t>
  </si>
  <si>
    <t>2009-10</t>
  </si>
  <si>
    <t>2010-11</t>
  </si>
  <si>
    <t>2011-12</t>
  </si>
  <si>
    <t>2012-13</t>
  </si>
  <si>
    <t>2013-14</t>
  </si>
  <si>
    <t>Budget variation #6</t>
  </si>
  <si>
    <t>Budget variation #7</t>
  </si>
  <si>
    <t>Budget variation #8</t>
  </si>
  <si>
    <t>Budget variation #9</t>
  </si>
  <si>
    <t>Budget variation #10</t>
  </si>
  <si>
    <t>Budget variation #11</t>
  </si>
  <si>
    <t>Budget variation #12</t>
  </si>
  <si>
    <t>Budget variation #13</t>
  </si>
  <si>
    <t>Budget variation #14</t>
  </si>
  <si>
    <t>Budget variation #15</t>
  </si>
  <si>
    <t>Budget variation #16</t>
  </si>
  <si>
    <t>Budget variation #17</t>
  </si>
  <si>
    <t>Budget variation #18</t>
  </si>
  <si>
    <t>Budget variation #19</t>
  </si>
  <si>
    <t>Budget variation #20</t>
  </si>
  <si>
    <t>Proposal #4</t>
  </si>
  <si>
    <t>Proposal #5</t>
  </si>
  <si>
    <t>Proposal #6</t>
  </si>
  <si>
    <t>Proposal #7</t>
  </si>
  <si>
    <t>Proposal #8</t>
  </si>
  <si>
    <t>Proposal #9</t>
  </si>
  <si>
    <t>Proposal #10</t>
  </si>
  <si>
    <t>Journal</t>
  </si>
  <si>
    <t>Net borrowing/(lending)</t>
  </si>
  <si>
    <t>All amounts in $'000</t>
  </si>
  <si>
    <t>Assumptions</t>
  </si>
  <si>
    <t>Accommodation</t>
  </si>
  <si>
    <t>specify services received and $ cost basis</t>
  </si>
  <si>
    <t>eg Corporate services (IT, Financial services)</t>
  </si>
  <si>
    <t>Specify equipment necessary</t>
  </si>
  <si>
    <t>Specify land and buildings</t>
  </si>
  <si>
    <t>workings</t>
  </si>
  <si>
    <t>additional comments/notes</t>
  </si>
  <si>
    <t>$ cost per unit</t>
  </si>
  <si>
    <t>number of units</t>
  </si>
  <si>
    <t>Division</t>
  </si>
  <si>
    <t>Intra Govt Transfers</t>
  </si>
  <si>
    <t>sourced from divisional budget</t>
  </si>
  <si>
    <t>Grants &amp; Subsidies</t>
  </si>
  <si>
    <t>Fees, Fines &amp; Penalties</t>
  </si>
  <si>
    <t>Sale of Goods &amp; Services</t>
  </si>
  <si>
    <t>Internal (PIRSA) Revenue</t>
  </si>
  <si>
    <t>Other Revenue</t>
  </si>
  <si>
    <t>User Fees and Charges</t>
  </si>
  <si>
    <t>Total Revenue</t>
  </si>
  <si>
    <t>Employee Expenses</t>
  </si>
  <si>
    <t>Supplies &amp; Services</t>
  </si>
  <si>
    <t>Borrowing Costs</t>
  </si>
  <si>
    <t>Grants and Subsidies</t>
  </si>
  <si>
    <t>Other Expenses</t>
  </si>
  <si>
    <t>Total Expenses</t>
  </si>
  <si>
    <t>Capital Expenditure</t>
  </si>
  <si>
    <t>July</t>
  </si>
  <si>
    <t>August</t>
  </si>
  <si>
    <t>Oct</t>
  </si>
  <si>
    <t>Nov</t>
  </si>
  <si>
    <t>Dec</t>
  </si>
  <si>
    <t>Total</t>
  </si>
  <si>
    <t>Sept</t>
  </si>
  <si>
    <t>Comments</t>
  </si>
  <si>
    <t>based on cost per employee</t>
  </si>
  <si>
    <t>annual budget for events and advertising</t>
  </si>
  <si>
    <t>Internal (People Plus) revenue</t>
  </si>
  <si>
    <t>Internal (People Plus) expenses</t>
  </si>
  <si>
    <t>corporate services charges</t>
  </si>
  <si>
    <t>budget for three staff</t>
  </si>
  <si>
    <t>Employee classification AS07</t>
  </si>
  <si>
    <t>Employee classification AS05</t>
  </si>
  <si>
    <t>Jan</t>
  </si>
  <si>
    <t>Feb</t>
  </si>
  <si>
    <t>Mar</t>
  </si>
  <si>
    <t>Apr</t>
  </si>
  <si>
    <t>May</t>
  </si>
  <si>
    <t>Jun</t>
  </si>
  <si>
    <t>timing</t>
  </si>
  <si>
    <t>regular</t>
  </si>
  <si>
    <t>Case managers</t>
  </si>
  <si>
    <t>Program manager</t>
  </si>
  <si>
    <t>Groceries</t>
  </si>
  <si>
    <t>Petrol</t>
  </si>
  <si>
    <t>School fees</t>
  </si>
  <si>
    <t>Rates</t>
  </si>
  <si>
    <t>Electricity</t>
  </si>
  <si>
    <t>Car</t>
  </si>
  <si>
    <t>Gas</t>
  </si>
  <si>
    <t>Water</t>
  </si>
  <si>
    <t>Telephones</t>
  </si>
  <si>
    <t>Fruit and vegetables</t>
  </si>
  <si>
    <t>Insurance</t>
  </si>
  <si>
    <t>registration</t>
  </si>
  <si>
    <t>Servicing</t>
  </si>
  <si>
    <t>Milk &amp; bread</t>
  </si>
  <si>
    <t>Adults</t>
  </si>
  <si>
    <t>Children</t>
  </si>
  <si>
    <t>Health</t>
  </si>
  <si>
    <t>Including insurances</t>
  </si>
  <si>
    <t>House insurance</t>
  </si>
  <si>
    <t>Weekly spending</t>
  </si>
  <si>
    <t>covers clothes, accessories etc</t>
  </si>
  <si>
    <t>Internal Corporate costs</t>
  </si>
  <si>
    <t>Supplies and services - households</t>
  </si>
  <si>
    <t>Supplies and services - office running costs</t>
  </si>
  <si>
    <t>estimated cost for the program (pa)</t>
  </si>
  <si>
    <t>estimated cost per household (pa)</t>
  </si>
  <si>
    <t>Office supplies and materials &amp; utilities</t>
  </si>
  <si>
    <t>On costs</t>
  </si>
  <si>
    <t>Our zero based budget</t>
  </si>
  <si>
    <t>Total supplies and services</t>
  </si>
  <si>
    <t>Allocated budget</t>
  </si>
  <si>
    <t>Budget shortfall</t>
  </si>
  <si>
    <t>weekly</t>
  </si>
  <si>
    <t>January</t>
  </si>
  <si>
    <t>March &amp; Sept</t>
  </si>
  <si>
    <t>monthly</t>
  </si>
  <si>
    <t>quarterly</t>
  </si>
  <si>
    <t>quarterly bills</t>
  </si>
  <si>
    <t>weekly costs</t>
  </si>
  <si>
    <t>monthly costs</t>
  </si>
  <si>
    <t>Internal Expenditure</t>
  </si>
  <si>
    <t>Supplies and services</t>
  </si>
  <si>
    <t>Households</t>
  </si>
  <si>
    <t>Office</t>
  </si>
  <si>
    <t>based on saturdays</t>
  </si>
  <si>
    <t>annual bills</t>
  </si>
  <si>
    <t>Cost Code Balance by Responsbility by Project/Task</t>
  </si>
  <si>
    <t>for a Manager</t>
  </si>
  <si>
    <t>Year to Date</t>
  </si>
  <si>
    <t>Budgets</t>
  </si>
  <si>
    <t>Annual Budget</t>
  </si>
  <si>
    <t>PROJECT TEAM</t>
  </si>
  <si>
    <t>Sals, Wages &amp; On Costs</t>
  </si>
  <si>
    <t>Internal costs</t>
  </si>
  <si>
    <t>Total for task 00101</t>
  </si>
  <si>
    <t>00101           MIGRANT ACCOMMODATION</t>
  </si>
  <si>
    <t>Our Reporting System</t>
  </si>
  <si>
    <t>for fiscal year 2007; Actuals thru period 1, Budgets thru period 1</t>
  </si>
  <si>
    <t>Summary of Monthly variances</t>
  </si>
  <si>
    <t>As at INSERT DATE</t>
  </si>
  <si>
    <t>Period 1</t>
  </si>
  <si>
    <t>Period 2</t>
  </si>
  <si>
    <t>Period 3</t>
  </si>
  <si>
    <t>Period 4</t>
  </si>
  <si>
    <t>Year to date variances</t>
  </si>
  <si>
    <t>for fiscal year 2007; Actuals thru period 3, Budgets thru period 3</t>
  </si>
  <si>
    <t>Actuals</t>
  </si>
  <si>
    <t xml:space="preserve">  Accommodation</t>
  </si>
  <si>
    <t xml:space="preserve">  Office supplies and materials</t>
  </si>
  <si>
    <t xml:space="preserve">  Groceries and food</t>
  </si>
  <si>
    <t xml:space="preserve">  Health costs</t>
  </si>
  <si>
    <t xml:space="preserve">  Utilities</t>
  </si>
  <si>
    <t xml:space="preserve">  Vehicles</t>
  </si>
  <si>
    <t xml:space="preserve">  Fuel</t>
  </si>
  <si>
    <t xml:space="preserve">  other expenses</t>
  </si>
  <si>
    <t xml:space="preserve">  Maintenance expenditure</t>
  </si>
  <si>
    <t>House maintenance and upgrades</t>
  </si>
  <si>
    <t>4 p.a. (Each house every 5 years)</t>
  </si>
  <si>
    <t>September Transactions report - excerpt</t>
  </si>
  <si>
    <t>Amount $</t>
  </si>
  <si>
    <t>Invoice #</t>
  </si>
  <si>
    <t>Vendor</t>
  </si>
  <si>
    <t>Comment</t>
  </si>
  <si>
    <t>Expense</t>
  </si>
  <si>
    <t>Transaction</t>
  </si>
  <si>
    <t>lease for September &amp; October</t>
  </si>
  <si>
    <t>August Transactions report - excerpt</t>
  </si>
  <si>
    <t>Electricity - houses 1-5</t>
  </si>
  <si>
    <t>Gas - houses 1-5</t>
  </si>
  <si>
    <t>Telstra - houses 1-5</t>
  </si>
  <si>
    <t>Electricity - houses 6-10</t>
  </si>
  <si>
    <t>Electricity - houses 11-15</t>
  </si>
  <si>
    <t>Electricity - houses 16-20</t>
  </si>
  <si>
    <t>Gas - houses 6-10</t>
  </si>
  <si>
    <t>Gas - houses 11-15</t>
  </si>
  <si>
    <t>Gas - houses 16-20</t>
  </si>
  <si>
    <t>Telstra - houses 16-20</t>
  </si>
  <si>
    <t>Telstra - houses 6-10</t>
  </si>
  <si>
    <t>Telstra - houses 11-15</t>
  </si>
  <si>
    <t>Quarterly bills for up to the end of July</t>
  </si>
  <si>
    <t>Fuel card number 2987</t>
  </si>
  <si>
    <t>Fuel card number 2988</t>
  </si>
  <si>
    <t>Fuel card number 2989</t>
  </si>
  <si>
    <t>Fuel card number 2990</t>
  </si>
  <si>
    <t>Fuel card number 2991</t>
  </si>
  <si>
    <t>Fuel card number 2992</t>
  </si>
  <si>
    <t>Fuel card number 2993</t>
  </si>
  <si>
    <t>Fuel card number 2994</t>
  </si>
  <si>
    <t>Fuel card number 2995</t>
  </si>
  <si>
    <t>Pharmacy costs - house 1</t>
  </si>
  <si>
    <t>Gribbles</t>
  </si>
  <si>
    <t>Vaccination costs</t>
  </si>
  <si>
    <t>Pharmacy costs - house 3</t>
  </si>
  <si>
    <t>Pharmacy costs - house 2</t>
  </si>
  <si>
    <t>Pharmacy costs - house 8</t>
  </si>
  <si>
    <t>Pharmacy costs - house 13</t>
  </si>
  <si>
    <t>Pharmacy costs - house 17</t>
  </si>
  <si>
    <t>Pharmacy costs - house 19</t>
  </si>
  <si>
    <t>Pathology</t>
  </si>
  <si>
    <t>Pharmacy costs - house 9</t>
  </si>
  <si>
    <t>Stay Healthy inc</t>
  </si>
  <si>
    <t>Medical Insurer</t>
  </si>
  <si>
    <t>Month</t>
  </si>
  <si>
    <t>Fuel card number 2996</t>
  </si>
  <si>
    <t>Fuel card number 2997</t>
  </si>
  <si>
    <t>Fuel card number 2998</t>
  </si>
  <si>
    <t>Fuel card number 2999</t>
  </si>
  <si>
    <t>Fuel card number 3000</t>
  </si>
  <si>
    <t>Fuel card number 3001</t>
  </si>
  <si>
    <t>Fuel card number 3002</t>
  </si>
  <si>
    <t>Fuel card number 3003</t>
  </si>
  <si>
    <t>Fuel card number 3004</t>
  </si>
  <si>
    <t>Fuel card number 3005</t>
  </si>
  <si>
    <t>Fuel card number 3006</t>
  </si>
  <si>
    <t>number of litres</t>
  </si>
  <si>
    <t>average price paid per litre</t>
  </si>
  <si>
    <t>Details</t>
  </si>
  <si>
    <t>One bill for all households</t>
  </si>
  <si>
    <t>Maintenance costs</t>
  </si>
  <si>
    <t>Painting contractor</t>
  </si>
  <si>
    <t>Invoice number 254786</t>
  </si>
  <si>
    <t>Invoice number 255678</t>
  </si>
  <si>
    <t>Invoice 3323</t>
  </si>
  <si>
    <t>Invoice 3344</t>
  </si>
  <si>
    <t>Plumber - house number 3</t>
  </si>
  <si>
    <t>ACME painting</t>
  </si>
  <si>
    <t>Drains R us</t>
  </si>
  <si>
    <t>Invoice 23231</t>
  </si>
  <si>
    <t>ACME maintenance</t>
  </si>
  <si>
    <t>Guttering - house number 6</t>
  </si>
  <si>
    <t>for fiscal year 2007; Actuals thru period 2, Budgets thru period 2</t>
  </si>
  <si>
    <t>Cost Code Balance by Responsibility by Project/Task</t>
  </si>
  <si>
    <t>Basic health insurance - houses</t>
  </si>
  <si>
    <t>$150 per house</t>
  </si>
  <si>
    <t>As at July 09</t>
  </si>
  <si>
    <t>As at August 09</t>
  </si>
  <si>
    <t>As at Sept 09</t>
  </si>
  <si>
    <t>Financial Year Ended 30 June 2010</t>
  </si>
  <si>
    <t>Fund Category: 03 - State Recurrent</t>
  </si>
  <si>
    <t>Cost Centre: 999 - Interstate relocation</t>
  </si>
  <si>
    <t>Total for Employee Expenses</t>
  </si>
  <si>
    <t>Operating</t>
  </si>
  <si>
    <t>7650 - Health costs</t>
  </si>
  <si>
    <t>7894 - Electricity and Utilities</t>
  </si>
  <si>
    <t>7942 - Fuel and Lubricants</t>
  </si>
  <si>
    <t>Opening</t>
  </si>
  <si>
    <t>Balance</t>
  </si>
  <si>
    <t>MTD</t>
  </si>
  <si>
    <t>Budget</t>
  </si>
  <si>
    <t>F/(U)</t>
  </si>
  <si>
    <t>YTD</t>
  </si>
  <si>
    <t>YTD Var</t>
  </si>
  <si>
    <t>Annual</t>
  </si>
  <si>
    <t>Total for Supplies and Services</t>
  </si>
  <si>
    <t>Project: 9999 - Interstate relocation</t>
  </si>
  <si>
    <t>Total for operating</t>
  </si>
  <si>
    <t>Total for Project 9999</t>
  </si>
  <si>
    <t>Total for Cost Centre:</t>
  </si>
  <si>
    <t>Printed:  date</t>
  </si>
  <si>
    <t>Accepted Transactions Report</t>
  </si>
  <si>
    <t>('-' indicates a credit transaction)</t>
  </si>
  <si>
    <t>Period 2, August</t>
  </si>
  <si>
    <t>Supplies &amp; services</t>
  </si>
  <si>
    <t>03-999-9999-7894 - Electricity and Utilities</t>
  </si>
  <si>
    <t>Amount</t>
  </si>
  <si>
    <t>$</t>
  </si>
  <si>
    <t>Journal ID</t>
  </si>
  <si>
    <t>Order No/</t>
  </si>
  <si>
    <t>Customer No</t>
  </si>
  <si>
    <t>0938383</t>
  </si>
  <si>
    <t>Total for Electricty &amp; Utilities</t>
  </si>
  <si>
    <t>Transaction Description</t>
  </si>
  <si>
    <t>Invoice No</t>
  </si>
  <si>
    <t>Vendor/</t>
  </si>
  <si>
    <t>Customer name</t>
  </si>
  <si>
    <t>AGL</t>
  </si>
  <si>
    <t>Telstra</t>
  </si>
  <si>
    <t>03-999-9999-7942 - Fuel &amp; Lubricants</t>
  </si>
  <si>
    <t>Total for Fuel &amp; lubricants</t>
  </si>
  <si>
    <t>0921212</t>
  </si>
  <si>
    <t>Mobil</t>
  </si>
  <si>
    <t>Variance</t>
  </si>
  <si>
    <t>September</t>
  </si>
  <si>
    <t>Summary of monthly variances</t>
  </si>
  <si>
    <t>Vehicles</t>
  </si>
  <si>
    <t>Depreciation on assets</t>
  </si>
  <si>
    <t>Houses</t>
  </si>
  <si>
    <t>20 houses, $90,000 with 30 year life</t>
    <phoneticPr fontId="4" type="noConversion"/>
  </si>
  <si>
    <t>monthly</t>
    <phoneticPr fontId="4" type="noConversion"/>
  </si>
  <si>
    <t>Cars</t>
  </si>
  <si>
    <t xml:space="preserve">20 cars @ $2,000 per year </t>
  </si>
  <si>
    <t>monthly'</t>
  </si>
  <si>
    <t>Includes some allowance for excursions</t>
  </si>
  <si>
    <t>Year 1</t>
  </si>
  <si>
    <t>Year 2</t>
  </si>
  <si>
    <t>Year 3</t>
  </si>
  <si>
    <t>Year 4</t>
  </si>
  <si>
    <t>Year 5</t>
  </si>
  <si>
    <t>Total for Depreciation</t>
  </si>
  <si>
    <t>Cost Centre by P&amp;L Detail</t>
  </si>
  <si>
    <t>Cost Centre: 999 - Skilled Migrant Housing</t>
  </si>
  <si>
    <t>Project: 9999 - Skilled Migrant Housing</t>
  </si>
  <si>
    <t>SALARIES</t>
  </si>
  <si>
    <t>Total:  Salary expenses</t>
  </si>
  <si>
    <t>ONCOST EXPENSES</t>
  </si>
  <si>
    <t>Total:  Oncost expenses</t>
  </si>
  <si>
    <t>TOTAL SALARIES</t>
  </si>
  <si>
    <t>Actual</t>
  </si>
  <si>
    <t>Annual Revised</t>
  </si>
  <si>
    <t>7150 - Salaries</t>
  </si>
  <si>
    <t>7155 - Allowances</t>
  </si>
  <si>
    <t>7201 - Annual leave</t>
  </si>
  <si>
    <t>7211 - Long Service Leave</t>
  </si>
  <si>
    <t>7230 - Super</t>
  </si>
  <si>
    <t>Internal (Dept) Expenditure</t>
  </si>
  <si>
    <t>Total for Internal (Dept) Expenditure</t>
  </si>
  <si>
    <t>999 - Skilled Migrant Housing</t>
  </si>
  <si>
    <t>7220 - Payroll tax</t>
  </si>
  <si>
    <t>8230 - Fuel and Lubricants</t>
  </si>
  <si>
    <t>8821 - Electricity and Utilities</t>
  </si>
  <si>
    <t>8820 - Accommodation (non govt)</t>
  </si>
  <si>
    <t>8160 - Office Supplies</t>
  </si>
  <si>
    <t>8XXX - Groceries and food</t>
  </si>
  <si>
    <t>8XXX - Health costs</t>
  </si>
  <si>
    <t>8822 - Maintenance breakdown</t>
  </si>
  <si>
    <t>8190 - Miscellaneous expenses (personal)</t>
  </si>
  <si>
    <t>8220 - Internal exp - Goods and Services</t>
  </si>
  <si>
    <t>9801 - Depreciation</t>
  </si>
  <si>
    <t>Interpreters</t>
  </si>
  <si>
    <t>based on 10% of employee costs</t>
  </si>
  <si>
    <t>quarterly</t>
    <phoneticPr fontId="4" type="noConversion"/>
  </si>
  <si>
    <t>Account Balances report</t>
  </si>
  <si>
    <t>Month ending September 20XX</t>
  </si>
  <si>
    <t>Closing</t>
  </si>
  <si>
    <t>Salary and Wages Expenses</t>
  </si>
  <si>
    <t>General Operating Expenses</t>
  </si>
  <si>
    <t>Goods &amp; Services</t>
  </si>
  <si>
    <t>Month ending August 20XX</t>
  </si>
  <si>
    <t>Month ending July 20XX</t>
  </si>
  <si>
    <t>assumes $100 per hour</t>
  </si>
  <si>
    <t>Quote from Fleet SA</t>
  </si>
  <si>
    <t>Vehicle services</t>
  </si>
  <si>
    <t>Internal (Corporate) expenses</t>
  </si>
  <si>
    <t>Net Operating Balance</t>
  </si>
  <si>
    <t>Skilled Migrant Housing</t>
  </si>
  <si>
    <t>Class</t>
  </si>
  <si>
    <t>Fiscal Balance</t>
  </si>
  <si>
    <t>Employee classification Level 5</t>
  </si>
  <si>
    <t>Employee classification Level 3</t>
  </si>
  <si>
    <t>Days per month</t>
  </si>
  <si>
    <t>Net Lending/borrowing</t>
  </si>
  <si>
    <t>Allowances (if applicable)</t>
  </si>
  <si>
    <t>On costs</t>
    <phoneticPr fontId="6" type="noConversion"/>
  </si>
  <si>
    <t>Positions required</t>
  </si>
  <si>
    <t># FTE</t>
  </si>
  <si>
    <t>Annual Rate</t>
  </si>
  <si>
    <t>Salary before allowances</t>
  </si>
  <si>
    <t>Penalties</t>
    <phoneticPr fontId="6" type="noConversion"/>
  </si>
  <si>
    <t>Public Holidays</t>
    <phoneticPr fontId="6" type="noConversion"/>
  </si>
  <si>
    <t>Variable</t>
    <phoneticPr fontId="6" type="noConversion"/>
  </si>
  <si>
    <t>Leave loading</t>
    <phoneticPr fontId="6" type="noConversion"/>
  </si>
  <si>
    <t>Salary after allowances</t>
  </si>
  <si>
    <t>Long Service Leave</t>
    <phoneticPr fontId="6" type="noConversion"/>
  </si>
  <si>
    <t>Payroll tax</t>
  </si>
  <si>
    <t>Super</t>
    <phoneticPr fontId="6" type="noConversion"/>
  </si>
  <si>
    <t>Workers compensation insurance</t>
  </si>
  <si>
    <t>Salary after allowances &amp; on costs</t>
  </si>
  <si>
    <t>Core positions</t>
  </si>
  <si>
    <t>Program Manager</t>
  </si>
  <si>
    <t>Case Manager</t>
  </si>
  <si>
    <t>Level 3</t>
  </si>
  <si>
    <t>Sub total</t>
  </si>
  <si>
    <t>Backfill positions (if required)</t>
  </si>
  <si>
    <t>Case Managers</t>
  </si>
  <si>
    <t>Backfill calculations</t>
  </si>
  <si>
    <t>Hours</t>
  </si>
  <si>
    <t>Full year</t>
  </si>
  <si>
    <t>Annual leave</t>
  </si>
  <si>
    <t>Public Holidays</t>
  </si>
  <si>
    <t>Available work time</t>
  </si>
  <si>
    <t>Sick leave</t>
  </si>
  <si>
    <t>Work time after sick leave</t>
  </si>
  <si>
    <t>PD time</t>
  </si>
  <si>
    <t>Estimated average work time</t>
  </si>
  <si>
    <t>Gap between full year &amp; est work time</t>
  </si>
  <si>
    <t>Extra FTE required per FTE</t>
  </si>
  <si>
    <t>Net lending/borrowing</t>
  </si>
  <si>
    <t>8401 - Vehicle hire - Fleet</t>
  </si>
  <si>
    <t xml:space="preserve">8401 - Vehicle hire - Fleet </t>
  </si>
  <si>
    <t>Cleaning</t>
  </si>
  <si>
    <t>4 weekly</t>
  </si>
  <si>
    <t>Removalists</t>
  </si>
  <si>
    <t>8XXX - Cleaning &amp; Removalists</t>
  </si>
  <si>
    <t>Cleaning and Removalists</t>
  </si>
  <si>
    <t>Employee classification ASO6</t>
  </si>
  <si>
    <t>Employee classification ASO4</t>
  </si>
  <si>
    <t>Net Cost of Services</t>
  </si>
  <si>
    <t>Assumes 15 square metres per employee</t>
  </si>
  <si>
    <t>.</t>
  </si>
  <si>
    <t>OBJ</t>
  </si>
  <si>
    <t>OBJECT DESCRIPTION</t>
  </si>
  <si>
    <t>MONTH TO DATE</t>
  </si>
  <si>
    <t>Cost Centre: 999 - SKILLED MIGRANT HOUSING</t>
  </si>
  <si>
    <t>YEAR TO DATE</t>
  </si>
  <si>
    <t>ANNUAL</t>
  </si>
  <si>
    <t>REVISED</t>
  </si>
  <si>
    <t>BUDGET</t>
  </si>
  <si>
    <t>TOTAL SURPLUS/(DEFICIT)</t>
  </si>
  <si>
    <t>TOTAL OPERATING EXPENSES</t>
  </si>
  <si>
    <t>TOTAL EXPENDITURE</t>
  </si>
  <si>
    <t>REPORT FOR THE MONTH OF SEPTEMBER 202X</t>
  </si>
  <si>
    <t>SALARIES, WAGES AND ONCOSTS</t>
  </si>
  <si>
    <t>TOTAL SALARIES, WAGES AND ONCOSTS</t>
  </si>
  <si>
    <t>OPERATING EXPENSES</t>
  </si>
  <si>
    <t>BALANCE</t>
  </si>
  <si>
    <t>AVAILABLE</t>
  </si>
  <si>
    <t>YTD Actual</t>
  </si>
  <si>
    <t>YTD Budgets</t>
  </si>
  <si>
    <t>Annual Revised Budget</t>
  </si>
  <si>
    <t>Projected Revenue/ Expenditure by Remaining Months</t>
  </si>
  <si>
    <t>Variance to Annual</t>
  </si>
  <si>
    <t>Mthly avg</t>
  </si>
  <si>
    <t>Remaining</t>
  </si>
  <si>
    <t>Forecast</t>
  </si>
  <si>
    <t>Sept XX</t>
  </si>
  <si>
    <t>Jul XX</t>
  </si>
  <si>
    <t>Aug XX</t>
  </si>
  <si>
    <t>Sep XX</t>
  </si>
  <si>
    <t>Oct XX</t>
  </si>
  <si>
    <t>Nov XX</t>
  </si>
  <si>
    <t>Dec XX</t>
  </si>
  <si>
    <t>Jan XX</t>
  </si>
  <si>
    <t>Feb XX</t>
  </si>
  <si>
    <t>Mar XX</t>
  </si>
  <si>
    <t>Apr XX</t>
  </si>
  <si>
    <t>May XX</t>
  </si>
  <si>
    <t>June XX</t>
  </si>
  <si>
    <t xml:space="preserve">EXPENSES                      </t>
  </si>
  <si>
    <t>T17110</t>
  </si>
  <si>
    <t>TOTAL SALARY &amp; WAGES</t>
  </si>
  <si>
    <t>SALARIES AND WAGES - PSM ACT</t>
  </si>
  <si>
    <t>ANNUAL LEAVE EXPENSE</t>
  </si>
  <si>
    <t>LONG SERVICE LEAVE EXPENSE</t>
  </si>
  <si>
    <t>PAYROLL TAX EXPENSE</t>
  </si>
  <si>
    <t>SUPERANNUATION EXPENSE</t>
  </si>
  <si>
    <t>OTHER EXPENSES</t>
  </si>
  <si>
    <t>T77800</t>
  </si>
  <si>
    <t>TOTAL OTHER SUPPLIES &amp; SERVICES</t>
  </si>
  <si>
    <t>FLEET COSTS CHARGE BY FLEET SA</t>
  </si>
  <si>
    <t>ELECTRICITY AND UTILITIES</t>
  </si>
  <si>
    <t>VEHICLE EXPENSES FUEL AND LUBE</t>
  </si>
  <si>
    <t>REPAIRS AND MAINTENANCE</t>
  </si>
  <si>
    <t>HEALTH AND MEDICAL EXPENSES</t>
  </si>
  <si>
    <t>REMOVAL EXPENSES</t>
  </si>
  <si>
    <t>CLEANING EXPENSES</t>
  </si>
  <si>
    <t>FOOD AND CATERING</t>
  </si>
  <si>
    <t>OFFICE SUPPLIES</t>
  </si>
  <si>
    <t>OFFICE ACCOMMODATION</t>
  </si>
  <si>
    <t>DEPRECIATION EXPENSES</t>
  </si>
  <si>
    <t>TOTAL DEPRECIATION</t>
  </si>
  <si>
    <t>T72110</t>
  </si>
  <si>
    <t>OTHER EXPENSES - SA GOVT</t>
  </si>
  <si>
    <t>T76810</t>
  </si>
  <si>
    <t>TOTAL OTHER EXPENSES</t>
  </si>
  <si>
    <t>TOTAL GOODS &amp; SERVICES</t>
  </si>
  <si>
    <t>TOTAL EXPENSES</t>
  </si>
  <si>
    <t>NET COST OF SERVICE</t>
  </si>
  <si>
    <t>ASO6</t>
  </si>
  <si>
    <t>ASO4</t>
  </si>
  <si>
    <t>assumes 40 litres per week $1.50 per litre</t>
  </si>
  <si>
    <t>based on 30 litres per week @$1.50</t>
  </si>
  <si>
    <t>Business Centre</t>
  </si>
  <si>
    <t>Reporting Category</t>
  </si>
  <si>
    <t>Object Level 3</t>
  </si>
  <si>
    <t>Object Code</t>
  </si>
  <si>
    <t>YTD Actual $</t>
  </si>
  <si>
    <t>YTD Budget $</t>
  </si>
  <si>
    <t>YTD Variance $</t>
  </si>
  <si>
    <t>FY Forecast $</t>
  </si>
  <si>
    <t>FY Budget $</t>
  </si>
  <si>
    <t>FY Variance $</t>
  </si>
  <si>
    <t>OPERATING EXPENSE</t>
  </si>
  <si>
    <t>SALARIES, WAGES &amp; ONCOSTS</t>
  </si>
  <si>
    <t>7111 : SALARIES &amp; WAGES</t>
  </si>
  <si>
    <t>7133 : LONG SERVICE LEAVE</t>
  </si>
  <si>
    <t>7134 : ANNUAL LEAVE</t>
  </si>
  <si>
    <t>7135 : RETENTION LEAVE</t>
  </si>
  <si>
    <t>7141 : SUPERANNUATION</t>
  </si>
  <si>
    <t>7142 : PAYROLL TAX</t>
  </si>
  <si>
    <t>7143 : WORKERS COMP PROV EXPENSE</t>
  </si>
  <si>
    <r>
      <rPr>
        <b/>
        <sz val="8"/>
        <color theme="1"/>
        <rFont val="Andale WT"/>
        <family val="2"/>
      </rPr>
      <t>SALARIES, WAGES &amp; ONCOSTS</t>
    </r>
    <r>
      <rPr>
        <b/>
        <sz val="8"/>
        <color theme="1"/>
        <rFont val="Andale WT"/>
        <family val="2"/>
      </rPr>
      <t xml:space="preserve"> - Total</t>
    </r>
  </si>
  <si>
    <t>GOODS &amp; SERVICES</t>
  </si>
  <si>
    <t>7247 : SUNDRY EXPENSES</t>
  </si>
  <si>
    <t>7511 : CLEANING EXPENSES</t>
  </si>
  <si>
    <t>7533 : GAS &amp; ELECTRICITY</t>
  </si>
  <si>
    <t>7611 : MV FUEL &amp; LUBRICATION</t>
  </si>
  <si>
    <t>7615 : MV LEASE COST (CORP USE ONLY)</t>
  </si>
  <si>
    <r>
      <rPr>
        <b/>
        <sz val="8"/>
        <color theme="1"/>
        <rFont val="Andale WT"/>
        <family val="2"/>
      </rPr>
      <t>GOODS &amp; SERVICES</t>
    </r>
    <r>
      <rPr>
        <b/>
        <sz val="8"/>
        <color theme="1"/>
        <rFont val="Andale WT"/>
        <family val="2"/>
      </rPr>
      <t xml:space="preserve"> - Total</t>
    </r>
  </si>
  <si>
    <r>
      <rPr>
        <b/>
        <sz val="8"/>
        <color theme="1"/>
        <rFont val="Andale WT"/>
        <family val="2"/>
      </rPr>
      <t>OPERATING EXPENSE</t>
    </r>
    <r>
      <rPr>
        <b/>
        <sz val="8"/>
        <color theme="1"/>
        <rFont val="Andale WT"/>
        <family val="2"/>
      </rPr>
      <t xml:space="preserve"> - Total</t>
    </r>
  </si>
  <si>
    <t>OPERATING REVENUE</t>
  </si>
  <si>
    <t>VARIOUS OTH REV</t>
  </si>
  <si>
    <t>6221 : STATE GOVT GRANTS</t>
  </si>
  <si>
    <t>6744 : SUPPORT SERVICES</t>
  </si>
  <si>
    <t>6756 : REIMBURSEMENT OF EXP INCURRED</t>
  </si>
  <si>
    <r>
      <rPr>
        <b/>
        <sz val="8"/>
        <color theme="1"/>
        <rFont val="Andale WT"/>
        <family val="2"/>
      </rPr>
      <t>VARIOUS OTH REV</t>
    </r>
    <r>
      <rPr>
        <b/>
        <sz val="8"/>
        <color theme="1"/>
        <rFont val="Andale WT"/>
        <family val="2"/>
      </rPr>
      <t xml:space="preserve"> - Total</t>
    </r>
  </si>
  <si>
    <r>
      <rPr>
        <b/>
        <sz val="8"/>
        <color theme="1"/>
        <rFont val="Andale WT"/>
        <family val="2"/>
      </rPr>
      <t>OPERATING REVENUE</t>
    </r>
    <r>
      <rPr>
        <b/>
        <sz val="8"/>
        <color theme="1"/>
        <rFont val="Andale WT"/>
        <family val="2"/>
      </rPr>
      <t xml:space="preserve"> - Total</t>
    </r>
  </si>
  <si>
    <t>75XX: OFFICE ACCOMMODATION</t>
  </si>
  <si>
    <t>7626 : REPAIR/MAINT</t>
  </si>
  <si>
    <t>72XX: OFFICE SUPPLIES</t>
  </si>
  <si>
    <t>77XX: FOOD AND CATERING</t>
  </si>
  <si>
    <t>77XX: HEALTH AND MEDICAL EXPENSES</t>
  </si>
  <si>
    <t>78XX: REMOVAL EXPENSES</t>
  </si>
  <si>
    <t>DEPRECIATION - Total</t>
  </si>
  <si>
    <t>7XXX: DEPRECIATION EXPENSES</t>
  </si>
  <si>
    <t>OTHER SA GOVT EXPENSES</t>
  </si>
  <si>
    <t>OTHER SA GOVT - Total</t>
  </si>
  <si>
    <t>7XXX: OTHER SA GOVERNMENT EXPENSES</t>
  </si>
  <si>
    <t>XXX:   TRANSITIONAL HOUSING PROGRAM</t>
  </si>
  <si>
    <t>XXX : TRANSITIONAL HOUSING PROGRAM - Total</t>
  </si>
  <si>
    <t>First Level to Show</t>
  </si>
  <si>
    <t>Second Level to Show</t>
  </si>
  <si>
    <t>Third Level to Show</t>
  </si>
  <si>
    <t>BC</t>
  </si>
  <si>
    <t>Activity</t>
  </si>
  <si>
    <t>Object</t>
  </si>
  <si>
    <t>Project</t>
  </si>
  <si>
    <t>TYPE</t>
  </si>
  <si>
    <t>Description</t>
  </si>
  <si>
    <t>CM Actual $</t>
  </si>
  <si>
    <t>CM Budget $</t>
  </si>
  <si>
    <t>CM Variance $</t>
  </si>
  <si>
    <t>Salaries, Wages and Oncosts</t>
  </si>
  <si>
    <t>73XX</t>
  </si>
  <si>
    <t>76XX</t>
  </si>
  <si>
    <t>75XX</t>
  </si>
  <si>
    <t>VEHICLE EXPENSES FUEL</t>
  </si>
  <si>
    <t>Fiscal Year</t>
  </si>
  <si>
    <t>P3 - September</t>
  </si>
  <si>
    <t>TRANSITIONAL HOUSING</t>
  </si>
  <si>
    <t>Cost Centre</t>
  </si>
  <si>
    <t>xxxx</t>
  </si>
  <si>
    <t>Full Year Budget</t>
  </si>
  <si>
    <t>Budget MTD Amount</t>
  </si>
  <si>
    <t>Actual MTD Amount</t>
  </si>
  <si>
    <t>Variance MTD</t>
  </si>
  <si>
    <t>Budget YTD Amount</t>
  </si>
  <si>
    <t>Actual YTD Amount</t>
  </si>
  <si>
    <t>Variance YTD</t>
  </si>
  <si>
    <t>Ref</t>
  </si>
  <si>
    <t>Budget revised</t>
  </si>
  <si>
    <t>Budget original</t>
  </si>
  <si>
    <t>Net Cost of Services (NCOS)</t>
  </si>
  <si>
    <t>71111 - SAL &amp; WAGES - N HOURS</t>
  </si>
  <si>
    <t>71211 - SICK LEAVE</t>
  </si>
  <si>
    <t>71311 - ANNUAL LEAVE</t>
  </si>
  <si>
    <t>71411 - LONG SERVICE LEAVE</t>
  </si>
  <si>
    <t>71511 - PAYROLL TAX</t>
  </si>
  <si>
    <t>71613 - SUPER (VOL) - TREASURY</t>
  </si>
  <si>
    <t>71816 - WORKERS COMPENSATION</t>
  </si>
  <si>
    <t>Other Supplies and Services</t>
  </si>
  <si>
    <t>71915 - STAFF REMOVALIST RELOCATION</t>
  </si>
  <si>
    <t>77519 - STATIONERY AND SUPPLIES</t>
  </si>
  <si>
    <t>77548 - CLEANING</t>
  </si>
  <si>
    <t>77735 - EDUCATION EXPENSES</t>
  </si>
  <si>
    <t>77776 - HOUSE LEASES</t>
  </si>
  <si>
    <t>77777 - HEALTH</t>
  </si>
  <si>
    <t>77778 - UTILITIES</t>
  </si>
  <si>
    <t>77779 - PERSONAL EXPENSES</t>
  </si>
  <si>
    <t>77911 - REPAIRS AND MAINTENANCE</t>
  </si>
  <si>
    <t>77954 - REGISTRATION AND INSURANCE</t>
  </si>
  <si>
    <t>77956 - FUEL</t>
  </si>
  <si>
    <t>77959 - FLEET SA MV LEASE</t>
  </si>
  <si>
    <t>78251 - OCCUPANCY - RENT</t>
  </si>
  <si>
    <t>78383 - GROCERIES AND FOOD</t>
  </si>
  <si>
    <t>82181 - CORPORATE SUPPORT</t>
  </si>
  <si>
    <t>South Australia Police</t>
  </si>
  <si>
    <t>1a - 02 PL Operating Managed 22/23</t>
  </si>
  <si>
    <t>XX99 - TRANSITIONAL HOUSING - SEPT</t>
  </si>
  <si>
    <t>FullYear</t>
  </si>
  <si>
    <t>WORKFORCE</t>
  </si>
  <si>
    <t>UNSWORN RECURRENT</t>
  </si>
  <si>
    <t>UNSWORN WORKFORCE (FTE'S)</t>
  </si>
  <si>
    <t>EXPENDITURE</t>
  </si>
  <si>
    <t>EMPLOYEE ENTITLEMENTS</t>
  </si>
  <si>
    <t>MANAGED UNSWORN SALARIES (INCL OVERTIME &amp; INCOME MTCE)</t>
  </si>
  <si>
    <t>BASE SALARIES AND WAGES</t>
  </si>
  <si>
    <t>SICK LEAVE</t>
  </si>
  <si>
    <t>ANNUAL LEAVE</t>
  </si>
  <si>
    <t>LS LEAVE</t>
  </si>
  <si>
    <t>SUPERANNUATION</t>
  </si>
  <si>
    <t>PAYROLL TAX</t>
  </si>
  <si>
    <t>WORKERS COMP</t>
  </si>
  <si>
    <t>MANAGED EMPLOYEE ENTITLEMENTS</t>
  </si>
  <si>
    <t>SUPPLIES AND SERVICES</t>
  </si>
  <si>
    <t>OPERATING MANAGED LINES</t>
  </si>
  <si>
    <t>ADMINISTRATION EXPENSES</t>
  </si>
  <si>
    <t>STAFF VEHCLES</t>
  </si>
  <si>
    <t>PROGRAM EXPENSES</t>
  </si>
  <si>
    <t>REMOVALISTS</t>
  </si>
  <si>
    <t>CLEANING</t>
  </si>
  <si>
    <t>House Maintenance and upgrades</t>
  </si>
  <si>
    <t>HOUSEHOLD EXPENSES</t>
  </si>
  <si>
    <t>GROCERIES AND FOOD</t>
  </si>
  <si>
    <t>EDUCATION</t>
  </si>
  <si>
    <t>HEALTH</t>
  </si>
  <si>
    <t>UTILITIES</t>
  </si>
  <si>
    <t>PERSONAL EXPENSES</t>
  </si>
  <si>
    <t>HOUSEHOLD VEHICLES</t>
  </si>
  <si>
    <t>FUEL</t>
  </si>
  <si>
    <t>MAINTENANCE</t>
  </si>
  <si>
    <t>OTHER HOUSEHOLD EXPENSES</t>
  </si>
  <si>
    <t>SERVICE AGREEMENTS</t>
  </si>
  <si>
    <t>HOUSE LEASES</t>
  </si>
  <si>
    <t>CORPORATE SUPPORT</t>
  </si>
  <si>
    <t>MANAGED EXPENDITURE</t>
  </si>
  <si>
    <t>NET OPERATING RESULT MANAGED</t>
  </si>
  <si>
    <t>Transitional housing</t>
  </si>
  <si>
    <t>8401 - Vehicles - Hire and service</t>
  </si>
  <si>
    <t>8 weekly</t>
  </si>
  <si>
    <t>Cost Centre: 999 - Transitional Housing</t>
  </si>
  <si>
    <t>Total for Project 999</t>
  </si>
  <si>
    <t>Total Estimated Cost</t>
  </si>
  <si>
    <t>Average cost per house</t>
  </si>
  <si>
    <t>Average cost per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</si>
</sst>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164" formatCode="&quot;$&quot;#,##0;[Red]\-&quot;$&quot;#,##0"/>
    <numFmt numFmtId="165" formatCode="&quot;$&quot;#,##0.00;\-&quot;$&quot;#,##0.00"/>
    <numFmt numFmtId="166" formatCode="&quot;$&quot;#,##0.00;[Red]\-&quot;$&quot;#,##0.00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* #,##0_-;\-* #,##0_-;_-* &quot;-&quot;??_-;_-@_-"/>
    <numFmt numFmtId="170" formatCode="0.0%"/>
    <numFmt numFmtId="171" formatCode="_-&quot;$&quot;* #,##0_-;\-&quot;$&quot;* #,##0_-;_-&quot;$&quot;* &quot;-&quot;??_-;_-@_-"/>
    <numFmt numFmtId="172" formatCode="#,##0_ ;\-#,##0\ "/>
    <numFmt numFmtId="173" formatCode="#,##0.0"/>
    <numFmt numFmtId="174" formatCode="_(&quot;$&quot;* #,##0_);_(&quot;$&quot;* \(#,##0\);_(&quot;$&quot;* &quot;-&quot;??_);_(@_)"/>
    <numFmt numFmtId="175" formatCode="#,##0_-;[Red]\(#,##0\)_-;_-* &quot;-&quot;??_-;_-@_-"/>
    <numFmt numFmtId="176" formatCode="#,##0;[Red]\(#,##0\);\-"/>
    <numFmt numFmtId="177" formatCode="#,##0;[Red]\-#,##0;\-"/>
    <numFmt numFmtId="178" formatCode="#,##0;\-#,##0;0"/>
    <numFmt numFmtId="179" formatCode="#,##0;\(#,##0\);\0"/>
    <numFmt numFmtId="180" formatCode="_-* #,##0.0_-;\-* #,##0.0_-;_-* &quot;-&quot;??_-;_-@_-"/>
    <numFmt numFmtId="181" formatCode="&quot;$&quot;#,##0"/>
    <numFmt numFmtId="182" formatCode="#,##0.0;[Red]\-#,##0.0"/>
    <numFmt numFmtId="183" formatCode="#,##0;[Red]\-#,##0"/>
    <numFmt numFmtId="184" formatCode="#,##0;[Red]#,##0"/>
  </numFmts>
  <fonts count="66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i/>
      <sz val="26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sz val="10"/>
      <name val="Helv"/>
      <charset val="204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MT"/>
      <family val="2"/>
    </font>
    <font>
      <b/>
      <i/>
      <sz val="10"/>
      <color theme="1"/>
      <name val="ArialMT"/>
    </font>
    <font>
      <sz val="10"/>
      <color theme="0"/>
      <name val="ArialMT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Tahoma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u/>
      <sz val="8"/>
      <color rgb="FF0000FF"/>
      <name val="Andale WT"/>
      <family val="2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4"/>
      <name val="Arial"/>
      <family val="2"/>
    </font>
    <font>
      <sz val="11"/>
      <color theme="1"/>
      <name val="Calibri"/>
      <family val="2"/>
    </font>
    <font>
      <b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9"/>
      <color theme="8" tint="-0.249977111117893"/>
      <name val="Arial"/>
      <family val="2"/>
    </font>
    <font>
      <b/>
      <sz val="10"/>
      <color theme="1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70C0"/>
      <name val="Arial"/>
      <family val="2"/>
    </font>
    <font>
      <sz val="11"/>
      <color theme="0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5E5"/>
      </patternFill>
    </fill>
    <fill>
      <patternFill patternType="solid">
        <fgColor rgb="FFE0E0E0"/>
      </patternFill>
    </fill>
    <fill>
      <patternFill patternType="solid">
        <fgColor rgb="FFCCCC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C0C0C0"/>
      </right>
      <top style="medium">
        <color rgb="FF808080"/>
      </top>
      <bottom style="medium">
        <color rgb="FF808080"/>
      </bottom>
      <diagonal/>
    </border>
    <border>
      <left style="medium">
        <color rgb="FFC0C0C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C0C0C0"/>
      </left>
      <right style="medium">
        <color rgb="FF808080"/>
      </right>
      <top style="medium">
        <color rgb="FFC0C0C0"/>
      </top>
      <bottom style="medium">
        <color rgb="FFC0C0C0"/>
      </bottom>
      <diagonal/>
    </border>
    <border>
      <left style="medium">
        <color rgb="FF80808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C0C0C0"/>
      </top>
      <bottom style="medium">
        <color rgb="FF808080"/>
      </bottom>
      <diagonal/>
    </border>
    <border>
      <left style="medium">
        <color rgb="FFC0C0C0"/>
      </left>
      <right style="medium">
        <color rgb="FF808080"/>
      </right>
      <top style="medium">
        <color rgb="FFC0C0C0"/>
      </top>
      <bottom style="medium">
        <color rgb="FF808080"/>
      </bottom>
      <diagonal/>
    </border>
    <border>
      <left style="medium">
        <color rgb="FF808080"/>
      </left>
      <right/>
      <top style="medium">
        <color rgb="FF93B1CD"/>
      </top>
      <bottom style="medium">
        <color rgb="FF808080"/>
      </bottom>
      <diagonal/>
    </border>
    <border>
      <left/>
      <right style="medium">
        <color rgb="FF808080"/>
      </right>
      <top style="medium">
        <color rgb="FF93B1CD"/>
      </top>
      <bottom style="medium">
        <color rgb="FF808080"/>
      </bottom>
      <diagonal/>
    </border>
    <border>
      <left style="medium">
        <color rgb="FF808080"/>
      </left>
      <right style="medium">
        <color rgb="FFC0C0C0"/>
      </right>
      <top style="medium">
        <color rgb="FFC0C0C0"/>
      </top>
      <bottom style="medium">
        <color rgb="FF808080"/>
      </bottom>
      <diagonal/>
    </border>
    <border>
      <left/>
      <right/>
      <top style="medium">
        <color rgb="FF93B1CD"/>
      </top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ck">
        <color rgb="FFFFC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3">
    <xf numFmtId="0" fontId="0" fillId="0" borderId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0" fontId="28" fillId="0" borderId="0"/>
    <xf numFmtId="0" fontId="26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0" fontId="47" fillId="0" borderId="0"/>
    <xf numFmtId="168" fontId="47" fillId="0" borderId="0" applyFont="0" applyFill="0" applyBorder="0" applyAlignment="0" applyProtection="0"/>
  </cellStyleXfs>
  <cellXfs count="725">
    <xf numFmtId="0" fontId="0" fillId="0" borderId="0" xfId="0"/>
    <xf numFmtId="169" fontId="0" fillId="0" borderId="0" xfId="1" applyNumberFormat="1" applyFont="1"/>
    <xf numFmtId="0" fontId="3" fillId="0" borderId="0" xfId="0" applyFont="1"/>
    <xf numFmtId="169" fontId="3" fillId="0" borderId="0" xfId="1" applyNumberFormat="1" applyFont="1" applyAlignment="1">
      <alignment horizontal="center"/>
    </xf>
    <xf numFmtId="169" fontId="3" fillId="0" borderId="0" xfId="1" applyNumberFormat="1" applyFont="1"/>
    <xf numFmtId="0" fontId="4" fillId="0" borderId="0" xfId="0" applyFont="1"/>
    <xf numFmtId="169" fontId="4" fillId="0" borderId="0" xfId="1" applyNumberFormat="1" applyFont="1"/>
    <xf numFmtId="0" fontId="7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169" fontId="1" fillId="0" borderId="0" xfId="1" applyNumberFormat="1"/>
    <xf numFmtId="0" fontId="8" fillId="0" borderId="0" xfId="0" applyFont="1"/>
    <xf numFmtId="0" fontId="5" fillId="0" borderId="0" xfId="0" applyFont="1"/>
    <xf numFmtId="3" fontId="0" fillId="0" borderId="0" xfId="0" applyNumberFormat="1"/>
    <xf numFmtId="3" fontId="3" fillId="0" borderId="0" xfId="0" applyNumberFormat="1" applyFont="1"/>
    <xf numFmtId="3" fontId="3" fillId="0" borderId="0" xfId="1" applyNumberFormat="1" applyFont="1" applyAlignment="1">
      <alignment horizontal="center"/>
    </xf>
    <xf numFmtId="3" fontId="4" fillId="0" borderId="0" xfId="0" applyNumberFormat="1" applyFont="1"/>
    <xf numFmtId="170" fontId="4" fillId="0" borderId="0" xfId="7" applyNumberFormat="1" applyFont="1"/>
    <xf numFmtId="0" fontId="7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3" fontId="0" fillId="0" borderId="0" xfId="1" applyNumberFormat="1" applyFont="1"/>
    <xf numFmtId="3" fontId="0" fillId="0" borderId="3" xfId="0" applyNumberFormat="1" applyBorder="1"/>
    <xf numFmtId="3" fontId="7" fillId="0" borderId="0" xfId="0" applyNumberFormat="1" applyFont="1"/>
    <xf numFmtId="0" fontId="0" fillId="0" borderId="1" xfId="0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170" fontId="2" fillId="0" borderId="0" xfId="7" applyNumberFormat="1" applyFont="1" applyAlignment="1">
      <alignment horizontal="center"/>
    </xf>
    <xf numFmtId="170" fontId="0" fillId="0" borderId="0" xfId="7" applyNumberFormat="1" applyFont="1"/>
    <xf numFmtId="3" fontId="4" fillId="0" borderId="0" xfId="1" applyNumberFormat="1" applyFont="1"/>
    <xf numFmtId="3" fontId="3" fillId="3" borderId="0" xfId="1" applyNumberFormat="1" applyFont="1" applyFill="1" applyAlignment="1">
      <alignment horizontal="center" wrapText="1"/>
    </xf>
    <xf numFmtId="3" fontId="3" fillId="0" borderId="0" xfId="1" applyNumberFormat="1" applyFont="1" applyAlignment="1">
      <alignment horizontal="center" wrapText="1"/>
    </xf>
    <xf numFmtId="170" fontId="3" fillId="0" borderId="0" xfId="7" applyNumberFormat="1" applyFont="1" applyAlignment="1">
      <alignment horizontal="center" wrapText="1"/>
    </xf>
    <xf numFmtId="3" fontId="8" fillId="0" borderId="0" xfId="0" applyNumberFormat="1" applyFont="1"/>
    <xf numFmtId="0" fontId="9" fillId="4" borderId="0" xfId="0" applyFont="1" applyFill="1" applyAlignment="1" applyProtection="1">
      <alignment horizontal="left" vertical="top"/>
      <protection locked="0"/>
    </xf>
    <xf numFmtId="3" fontId="7" fillId="0" borderId="0" xfId="1" applyNumberFormat="1" applyFont="1"/>
    <xf numFmtId="3" fontId="7" fillId="0" borderId="0" xfId="1" applyNumberFormat="1" applyFont="1" applyFill="1"/>
    <xf numFmtId="170" fontId="7" fillId="0" borderId="0" xfId="7" applyNumberFormat="1" applyFont="1"/>
    <xf numFmtId="3" fontId="3" fillId="0" borderId="0" xfId="1" applyNumberFormat="1" applyFont="1"/>
    <xf numFmtId="3" fontId="3" fillId="0" borderId="0" xfId="1" applyNumberFormat="1" applyFont="1" applyFill="1"/>
    <xf numFmtId="3" fontId="0" fillId="0" borderId="0" xfId="1" applyNumberFormat="1" applyFont="1" applyFill="1"/>
    <xf numFmtId="164" fontId="0" fillId="0" borderId="0" xfId="0" applyNumberFormat="1"/>
    <xf numFmtId="171" fontId="0" fillId="0" borderId="0" xfId="3" applyNumberFormat="1" applyFont="1"/>
    <xf numFmtId="164" fontId="3" fillId="0" borderId="0" xfId="0" applyNumberFormat="1" applyFont="1"/>
    <xf numFmtId="171" fontId="3" fillId="0" borderId="0" xfId="3" applyNumberFormat="1" applyFont="1"/>
    <xf numFmtId="169" fontId="3" fillId="0" borderId="0" xfId="1" applyNumberFormat="1" applyFont="1" applyAlignment="1">
      <alignment horizontal="center" wrapText="1"/>
    </xf>
    <xf numFmtId="3" fontId="3" fillId="0" borderId="0" xfId="7" applyNumberFormat="1" applyFont="1" applyAlignment="1">
      <alignment horizontal="center"/>
    </xf>
    <xf numFmtId="3" fontId="0" fillId="0" borderId="0" xfId="7" applyNumberFormat="1" applyFont="1"/>
    <xf numFmtId="3" fontId="7" fillId="0" borderId="0" xfId="7" applyNumberFormat="1" applyFont="1"/>
    <xf numFmtId="3" fontId="3" fillId="0" borderId="0" xfId="7" applyNumberFormat="1" applyFont="1" applyFill="1"/>
    <xf numFmtId="3" fontId="0" fillId="0" borderId="0" xfId="7" applyNumberFormat="1" applyFont="1" applyFill="1"/>
    <xf numFmtId="3" fontId="0" fillId="0" borderId="3" xfId="0" applyNumberFormat="1" applyBorder="1" applyAlignment="1">
      <alignment horizontal="center" wrapText="1"/>
    </xf>
    <xf numFmtId="3" fontId="0" fillId="0" borderId="4" xfId="0" applyNumberFormat="1" applyBorder="1"/>
    <xf numFmtId="3" fontId="0" fillId="0" borderId="1" xfId="0" applyNumberFormat="1" applyBorder="1"/>
    <xf numFmtId="3" fontId="3" fillId="0" borderId="0" xfId="1" applyNumberFormat="1" applyFont="1" applyFill="1" applyAlignment="1">
      <alignment horizontal="center" wrapText="1"/>
    </xf>
    <xf numFmtId="3" fontId="3" fillId="0" borderId="0" xfId="1" applyNumberFormat="1" applyFont="1" applyFill="1" applyAlignment="1">
      <alignment horizontal="center"/>
    </xf>
    <xf numFmtId="3" fontId="4" fillId="0" borderId="0" xfId="7" applyNumberFormat="1" applyFont="1"/>
    <xf numFmtId="3" fontId="3" fillId="0" borderId="0" xfId="7" applyNumberFormat="1" applyFont="1" applyAlignment="1">
      <alignment horizontal="center" wrapText="1"/>
    </xf>
    <xf numFmtId="3" fontId="10" fillId="0" borderId="0" xfId="0" applyNumberFormat="1" applyFont="1"/>
    <xf numFmtId="3" fontId="10" fillId="0" borderId="0" xfId="1" applyNumberFormat="1" applyFont="1"/>
    <xf numFmtId="164" fontId="11" fillId="0" borderId="0" xfId="0" applyNumberFormat="1" applyFont="1"/>
    <xf numFmtId="0" fontId="12" fillId="0" borderId="0" xfId="0" applyFont="1"/>
    <xf numFmtId="3" fontId="1" fillId="0" borderId="0" xfId="1" applyNumberFormat="1"/>
    <xf numFmtId="171" fontId="1" fillId="0" borderId="0" xfId="3" applyNumberFormat="1"/>
    <xf numFmtId="0" fontId="13" fillId="4" borderId="0" xfId="0" applyFont="1" applyFill="1" applyAlignment="1" applyProtection="1">
      <alignment horizontal="left" vertical="top"/>
      <protection locked="0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4" fillId="0" borderId="0" xfId="0" applyNumberFormat="1" applyFont="1"/>
    <xf numFmtId="0" fontId="14" fillId="0" borderId="0" xfId="0" applyFont="1"/>
    <xf numFmtId="0" fontId="3" fillId="5" borderId="0" xfId="0" applyFont="1" applyFill="1"/>
    <xf numFmtId="0" fontId="3" fillId="5" borderId="0" xfId="0" quotePrefix="1" applyFont="1" applyFill="1"/>
    <xf numFmtId="0" fontId="11" fillId="5" borderId="0" xfId="0" applyFont="1" applyFill="1"/>
    <xf numFmtId="0" fontId="1" fillId="0" borderId="0" xfId="0" quotePrefix="1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3" fontId="0" fillId="0" borderId="5" xfId="0" applyNumberFormat="1" applyBorder="1"/>
    <xf numFmtId="0" fontId="14" fillId="0" borderId="0" xfId="0" applyFont="1" applyAlignment="1">
      <alignment horizontal="center" wrapText="1"/>
    </xf>
    <xf numFmtId="0" fontId="0" fillId="0" borderId="5" xfId="0" applyBorder="1"/>
    <xf numFmtId="0" fontId="4" fillId="0" borderId="0" xfId="0" applyFont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5" fillId="0" borderId="0" xfId="0" applyFont="1"/>
    <xf numFmtId="0" fontId="11" fillId="0" borderId="0" xfId="0" applyFont="1"/>
    <xf numFmtId="165" fontId="0" fillId="0" borderId="0" xfId="3" applyNumberFormat="1" applyFont="1"/>
    <xf numFmtId="0" fontId="14" fillId="5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3" fontId="4" fillId="0" borderId="6" xfId="1" applyNumberFormat="1" applyFont="1" applyBorder="1"/>
    <xf numFmtId="0" fontId="3" fillId="0" borderId="7" xfId="0" applyFont="1" applyBorder="1"/>
    <xf numFmtId="0" fontId="0" fillId="0" borderId="7" xfId="0" applyBorder="1"/>
    <xf numFmtId="0" fontId="7" fillId="0" borderId="7" xfId="0" applyFont="1" applyBorder="1" applyAlignment="1">
      <alignment wrapText="1"/>
    </xf>
    <xf numFmtId="3" fontId="0" fillId="0" borderId="8" xfId="0" applyNumberFormat="1" applyBorder="1"/>
    <xf numFmtId="0" fontId="0" fillId="0" borderId="9" xfId="0" applyBorder="1"/>
    <xf numFmtId="164" fontId="3" fillId="0" borderId="7" xfId="0" applyNumberFormat="1" applyFont="1" applyBorder="1"/>
    <xf numFmtId="0" fontId="3" fillId="0" borderId="6" xfId="0" applyFont="1" applyBorder="1"/>
    <xf numFmtId="0" fontId="0" fillId="0" borderId="6" xfId="0" applyBorder="1"/>
    <xf numFmtId="0" fontId="7" fillId="0" borderId="6" xfId="0" applyFont="1" applyBorder="1" applyAlignment="1">
      <alignment wrapText="1"/>
    </xf>
    <xf numFmtId="3" fontId="0" fillId="0" borderId="10" xfId="0" applyNumberFormat="1" applyBorder="1"/>
    <xf numFmtId="0" fontId="0" fillId="0" borderId="11" xfId="0" applyBorder="1"/>
    <xf numFmtId="164" fontId="3" fillId="0" borderId="6" xfId="0" applyNumberFormat="1" applyFont="1" applyBorder="1"/>
    <xf numFmtId="164" fontId="0" fillId="0" borderId="6" xfId="0" applyNumberFormat="1" applyBorder="1"/>
    <xf numFmtId="9" fontId="0" fillId="0" borderId="11" xfId="0" applyNumberFormat="1" applyBorder="1"/>
    <xf numFmtId="0" fontId="12" fillId="0" borderId="6" xfId="0" applyFont="1" applyBorder="1"/>
    <xf numFmtId="0" fontId="10" fillId="0" borderId="6" xfId="0" applyFont="1" applyBorder="1" applyAlignment="1">
      <alignment wrapText="1"/>
    </xf>
    <xf numFmtId="3" fontId="12" fillId="0" borderId="10" xfId="0" applyNumberFormat="1" applyFont="1" applyBorder="1"/>
    <xf numFmtId="0" fontId="12" fillId="0" borderId="11" xfId="0" applyFont="1" applyBorder="1"/>
    <xf numFmtId="164" fontId="12" fillId="0" borderId="6" xfId="0" applyNumberFormat="1" applyFont="1" applyBorder="1"/>
    <xf numFmtId="164" fontId="11" fillId="0" borderId="6" xfId="0" applyNumberFormat="1" applyFont="1" applyBorder="1"/>
    <xf numFmtId="171" fontId="0" fillId="0" borderId="6" xfId="3" applyNumberFormat="1" applyFont="1" applyBorder="1"/>
    <xf numFmtId="3" fontId="0" fillId="0" borderId="11" xfId="0" applyNumberFormat="1" applyBorder="1"/>
    <xf numFmtId="3" fontId="0" fillId="0" borderId="6" xfId="0" applyNumberFormat="1" applyBorder="1"/>
    <xf numFmtId="171" fontId="3" fillId="0" borderId="6" xfId="3" applyNumberFormat="1" applyFont="1" applyBorder="1"/>
    <xf numFmtId="0" fontId="0" fillId="0" borderId="12" xfId="0" applyBorder="1"/>
    <xf numFmtId="3" fontId="0" fillId="0" borderId="13" xfId="0" applyNumberFormat="1" applyBorder="1"/>
    <xf numFmtId="0" fontId="0" fillId="0" borderId="14" xfId="0" applyBorder="1"/>
    <xf numFmtId="171" fontId="0" fillId="0" borderId="12" xfId="3" applyNumberFormat="1" applyFont="1" applyBorder="1"/>
    <xf numFmtId="3" fontId="0" fillId="0" borderId="7" xfId="0" applyNumberFormat="1" applyBorder="1"/>
    <xf numFmtId="3" fontId="4" fillId="0" borderId="6" xfId="0" applyNumberFormat="1" applyFont="1" applyBorder="1"/>
    <xf numFmtId="3" fontId="7" fillId="0" borderId="6" xfId="1" applyNumberFormat="1" applyFont="1" applyBorder="1"/>
    <xf numFmtId="3" fontId="7" fillId="0" borderId="6" xfId="1" applyNumberFormat="1" applyFont="1" applyFill="1" applyBorder="1"/>
    <xf numFmtId="3" fontId="3" fillId="0" borderId="6" xfId="0" applyNumberFormat="1" applyFont="1" applyBorder="1"/>
    <xf numFmtId="3" fontId="3" fillId="0" borderId="6" xfId="1" applyNumberFormat="1" applyFont="1" applyBorder="1"/>
    <xf numFmtId="3" fontId="3" fillId="0" borderId="6" xfId="1" applyNumberFormat="1" applyFont="1" applyFill="1" applyBorder="1"/>
    <xf numFmtId="3" fontId="0" fillId="0" borderId="6" xfId="1" applyNumberFormat="1" applyFont="1" applyBorder="1"/>
    <xf numFmtId="3" fontId="0" fillId="0" borderId="6" xfId="1" applyNumberFormat="1" applyFont="1" applyFill="1" applyBorder="1"/>
    <xf numFmtId="3" fontId="7" fillId="0" borderId="6" xfId="0" applyNumberFormat="1" applyFont="1" applyBorder="1"/>
    <xf numFmtId="3" fontId="0" fillId="0" borderId="12" xfId="0" applyNumberFormat="1" applyBorder="1"/>
    <xf numFmtId="3" fontId="7" fillId="0" borderId="12" xfId="1" applyNumberFormat="1" applyFont="1" applyBorder="1"/>
    <xf numFmtId="3" fontId="7" fillId="0" borderId="12" xfId="1" applyNumberFormat="1" applyFont="1" applyFill="1" applyBorder="1"/>
    <xf numFmtId="172" fontId="0" fillId="0" borderId="7" xfId="0" applyNumberFormat="1" applyBorder="1"/>
    <xf numFmtId="3" fontId="1" fillId="0" borderId="7" xfId="3" applyNumberFormat="1" applyBorder="1"/>
    <xf numFmtId="172" fontId="0" fillId="0" borderId="6" xfId="0" applyNumberFormat="1" applyBorder="1"/>
    <xf numFmtId="3" fontId="1" fillId="0" borderId="6" xfId="3" applyNumberFormat="1" applyBorder="1"/>
    <xf numFmtId="3" fontId="1" fillId="0" borderId="6" xfId="3" applyNumberFormat="1" applyFont="1" applyFill="1" applyBorder="1"/>
    <xf numFmtId="172" fontId="0" fillId="0" borderId="12" xfId="0" applyNumberFormat="1" applyBorder="1"/>
    <xf numFmtId="3" fontId="1" fillId="0" borderId="12" xfId="3" applyNumberFormat="1" applyFont="1" applyFill="1" applyBorder="1"/>
    <xf numFmtId="3" fontId="1" fillId="0" borderId="12" xfId="3" applyNumberFormat="1" applyBorder="1"/>
    <xf numFmtId="0" fontId="3" fillId="0" borderId="0" xfId="0" applyFont="1" applyAlignment="1">
      <alignment horizontal="center"/>
    </xf>
    <xf numFmtId="0" fontId="3" fillId="6" borderId="15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4" fontId="0" fillId="0" borderId="0" xfId="0" applyNumberFormat="1"/>
    <xf numFmtId="4" fontId="3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3" fillId="6" borderId="15" xfId="0" applyFont="1" applyFill="1" applyBorder="1"/>
    <xf numFmtId="0" fontId="0" fillId="6" borderId="15" xfId="0" applyFill="1" applyBorder="1"/>
    <xf numFmtId="0" fontId="3" fillId="6" borderId="16" xfId="0" applyFont="1" applyFill="1" applyBorder="1"/>
    <xf numFmtId="0" fontId="0" fillId="6" borderId="16" xfId="0" applyFill="1" applyBorder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2" fillId="0" borderId="0" xfId="0" applyFont="1"/>
    <xf numFmtId="0" fontId="11" fillId="0" borderId="19" xfId="0" applyFont="1" applyBorder="1" applyAlignment="1">
      <alignment vertical="center"/>
    </xf>
    <xf numFmtId="0" fontId="0" fillId="0" borderId="19" xfId="0" applyBorder="1"/>
    <xf numFmtId="4" fontId="0" fillId="0" borderId="19" xfId="0" applyNumberFormat="1" applyBorder="1"/>
    <xf numFmtId="4" fontId="19" fillId="0" borderId="0" xfId="0" quotePrefix="1" applyNumberFormat="1" applyFont="1" applyAlignment="1">
      <alignment horizontal="right"/>
    </xf>
    <xf numFmtId="0" fontId="3" fillId="6" borderId="20" xfId="0" applyFont="1" applyFill="1" applyBorder="1" applyAlignment="1">
      <alignment vertical="center"/>
    </xf>
    <xf numFmtId="0" fontId="3" fillId="6" borderId="15" xfId="0" applyFont="1" applyFill="1" applyBorder="1" applyAlignment="1">
      <alignment horizontal="center"/>
    </xf>
    <xf numFmtId="0" fontId="0" fillId="6" borderId="21" xfId="0" applyFill="1" applyBorder="1"/>
    <xf numFmtId="0" fontId="3" fillId="6" borderId="16" xfId="0" applyFont="1" applyFill="1" applyBorder="1" applyAlignment="1">
      <alignment horizontal="center"/>
    </xf>
    <xf numFmtId="4" fontId="3" fillId="6" borderId="15" xfId="0" applyNumberFormat="1" applyFont="1" applyFill="1" applyBorder="1" applyAlignment="1">
      <alignment horizontal="right"/>
    </xf>
    <xf numFmtId="4" fontId="3" fillId="6" borderId="16" xfId="0" applyNumberFormat="1" applyFont="1" applyFill="1" applyBorder="1" applyAlignment="1">
      <alignment horizontal="right"/>
    </xf>
    <xf numFmtId="3" fontId="19" fillId="0" borderId="0" xfId="0" applyNumberFormat="1" applyFont="1"/>
    <xf numFmtId="4" fontId="22" fillId="0" borderId="0" xfId="0" applyNumberFormat="1" applyFont="1"/>
    <xf numFmtId="0" fontId="15" fillId="6" borderId="0" xfId="0" applyFont="1" applyFill="1" applyAlignment="1">
      <alignment horizontal="center" wrapText="1"/>
    </xf>
    <xf numFmtId="0" fontId="15" fillId="6" borderId="0" xfId="0" applyFont="1" applyFill="1"/>
    <xf numFmtId="165" fontId="15" fillId="6" borderId="0" xfId="3" applyNumberFormat="1" applyFont="1" applyFill="1"/>
    <xf numFmtId="0" fontId="4" fillId="0" borderId="6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23" fillId="4" borderId="7" xfId="0" applyFont="1" applyFill="1" applyBorder="1" applyAlignment="1" applyProtection="1">
      <alignment horizontal="left" vertical="top"/>
      <protection locked="0"/>
    </xf>
    <xf numFmtId="3" fontId="0" fillId="0" borderId="7" xfId="1" applyNumberFormat="1" applyFont="1" applyBorder="1"/>
    <xf numFmtId="3" fontId="0" fillId="0" borderId="7" xfId="1" applyNumberFormat="1" applyFont="1" applyFill="1" applyBorder="1"/>
    <xf numFmtId="0" fontId="23" fillId="4" borderId="6" xfId="0" applyFont="1" applyFill="1" applyBorder="1" applyAlignment="1" applyProtection="1">
      <alignment horizontal="left" vertical="top"/>
      <protection locked="0"/>
    </xf>
    <xf numFmtId="3" fontId="0" fillId="0" borderId="6" xfId="7" applyNumberFormat="1" applyFont="1" applyFill="1" applyBorder="1"/>
    <xf numFmtId="0" fontId="24" fillId="4" borderId="6" xfId="0" applyFont="1" applyFill="1" applyBorder="1" applyAlignment="1" applyProtection="1">
      <alignment horizontal="left" vertical="top"/>
      <protection locked="0"/>
    </xf>
    <xf numFmtId="3" fontId="12" fillId="0" borderId="6" xfId="0" applyNumberFormat="1" applyFont="1" applyBorder="1"/>
    <xf numFmtId="3" fontId="12" fillId="0" borderId="6" xfId="1" applyNumberFormat="1" applyFont="1" applyBorder="1"/>
    <xf numFmtId="3" fontId="12" fillId="0" borderId="6" xfId="1" applyNumberFormat="1" applyFont="1" applyFill="1" applyBorder="1"/>
    <xf numFmtId="3" fontId="12" fillId="0" borderId="6" xfId="7" applyNumberFormat="1" applyFont="1" applyFill="1" applyBorder="1"/>
    <xf numFmtId="0" fontId="3" fillId="7" borderId="21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3" fontId="0" fillId="0" borderId="33" xfId="0" applyNumberFormat="1" applyBorder="1"/>
    <xf numFmtId="0" fontId="0" fillId="0" borderId="34" xfId="0" applyBorder="1"/>
    <xf numFmtId="0" fontId="3" fillId="0" borderId="35" xfId="0" applyFont="1" applyBorder="1"/>
    <xf numFmtId="0" fontId="0" fillId="0" borderId="35" xfId="0" applyBorder="1"/>
    <xf numFmtId="0" fontId="7" fillId="0" borderId="35" xfId="0" applyFont="1" applyBorder="1" applyAlignment="1">
      <alignment wrapText="1"/>
    </xf>
    <xf numFmtId="3" fontId="0" fillId="0" borderId="36" xfId="0" applyNumberFormat="1" applyBorder="1"/>
    <xf numFmtId="0" fontId="0" fillId="0" borderId="37" xfId="0" applyBorder="1"/>
    <xf numFmtId="164" fontId="3" fillId="0" borderId="35" xfId="0" applyNumberFormat="1" applyFont="1" applyBorder="1"/>
    <xf numFmtId="0" fontId="3" fillId="0" borderId="38" xfId="0" applyFont="1" applyBorder="1"/>
    <xf numFmtId="0" fontId="0" fillId="0" borderId="38" xfId="0" applyBorder="1"/>
    <xf numFmtId="0" fontId="7" fillId="0" borderId="38" xfId="0" applyFont="1" applyBorder="1" applyAlignment="1">
      <alignment wrapText="1"/>
    </xf>
    <xf numFmtId="164" fontId="3" fillId="0" borderId="38" xfId="0" applyNumberFormat="1" applyFont="1" applyBorder="1"/>
    <xf numFmtId="173" fontId="0" fillId="0" borderId="34" xfId="0" applyNumberFormat="1" applyBorder="1"/>
    <xf numFmtId="164" fontId="0" fillId="0" borderId="38" xfId="0" applyNumberFormat="1" applyBorder="1"/>
    <xf numFmtId="173" fontId="0" fillId="8" borderId="34" xfId="0" applyNumberFormat="1" applyFill="1" applyBorder="1"/>
    <xf numFmtId="9" fontId="0" fillId="0" borderId="34" xfId="0" applyNumberFormat="1" applyBorder="1"/>
    <xf numFmtId="0" fontId="12" fillId="0" borderId="38" xfId="0" applyFont="1" applyBorder="1"/>
    <xf numFmtId="0" fontId="10" fillId="0" borderId="38" xfId="0" applyFont="1" applyBorder="1" applyAlignment="1">
      <alignment wrapText="1"/>
    </xf>
    <xf numFmtId="3" fontId="12" fillId="0" borderId="33" xfId="0" applyNumberFormat="1" applyFont="1" applyBorder="1"/>
    <xf numFmtId="0" fontId="12" fillId="0" borderId="34" xfId="0" applyFont="1" applyBorder="1"/>
    <xf numFmtId="164" fontId="12" fillId="0" borderId="38" xfId="0" applyNumberFormat="1" applyFont="1" applyBorder="1"/>
    <xf numFmtId="164" fontId="11" fillId="0" borderId="38" xfId="0" applyNumberFormat="1" applyFont="1" applyBorder="1"/>
    <xf numFmtId="171" fontId="1" fillId="0" borderId="38" xfId="3" applyNumberFormat="1" applyBorder="1"/>
    <xf numFmtId="3" fontId="0" fillId="0" borderId="34" xfId="0" applyNumberFormat="1" applyBorder="1"/>
    <xf numFmtId="3" fontId="0" fillId="0" borderId="38" xfId="0" applyNumberFormat="1" applyBorder="1"/>
    <xf numFmtId="3" fontId="0" fillId="8" borderId="33" xfId="0" applyNumberFormat="1" applyFill="1" applyBorder="1"/>
    <xf numFmtId="0" fontId="4" fillId="0" borderId="38" xfId="0" applyFont="1" applyBorder="1" applyAlignment="1">
      <alignment wrapText="1"/>
    </xf>
    <xf numFmtId="171" fontId="3" fillId="0" borderId="38" xfId="3" applyNumberFormat="1" applyFont="1" applyBorder="1"/>
    <xf numFmtId="0" fontId="0" fillId="0" borderId="39" xfId="0" applyBorder="1"/>
    <xf numFmtId="0" fontId="7" fillId="0" borderId="39" xfId="0" applyFont="1" applyBorder="1" applyAlignment="1">
      <alignment wrapText="1"/>
    </xf>
    <xf numFmtId="171" fontId="1" fillId="0" borderId="39" xfId="3" applyNumberFormat="1" applyBorder="1"/>
    <xf numFmtId="3" fontId="11" fillId="0" borderId="0" xfId="1" applyNumberFormat="1" applyFont="1" applyFill="1"/>
    <xf numFmtId="3" fontId="11" fillId="0" borderId="0" xfId="1" applyNumberFormat="1" applyFont="1"/>
    <xf numFmtId="3" fontId="11" fillId="0" borderId="0" xfId="7" applyNumberFormat="1" applyFont="1" applyFill="1"/>
    <xf numFmtId="3" fontId="12" fillId="0" borderId="0" xfId="1" applyNumberFormat="1" applyFont="1" applyFill="1"/>
    <xf numFmtId="3" fontId="12" fillId="0" borderId="0" xfId="7" applyNumberFormat="1" applyFont="1" applyFill="1"/>
    <xf numFmtId="3" fontId="12" fillId="0" borderId="0" xfId="1" applyNumberFormat="1" applyFont="1"/>
    <xf numFmtId="166" fontId="0" fillId="0" borderId="0" xfId="0" applyNumberFormat="1"/>
    <xf numFmtId="4" fontId="20" fillId="0" borderId="0" xfId="0" applyNumberFormat="1" applyFont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 wrapText="1"/>
    </xf>
    <xf numFmtId="4" fontId="3" fillId="9" borderId="0" xfId="0" applyNumberFormat="1" applyFont="1" applyFill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10" borderId="0" xfId="0" applyFont="1" applyFill="1" applyAlignment="1">
      <alignment horizontal="center" wrapText="1"/>
    </xf>
    <xf numFmtId="4" fontId="3" fillId="10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40" xfId="0" applyBorder="1"/>
    <xf numFmtId="0" fontId="12" fillId="0" borderId="41" xfId="0" applyFont="1" applyBorder="1"/>
    <xf numFmtId="3" fontId="0" fillId="0" borderId="41" xfId="0" applyNumberFormat="1" applyBorder="1"/>
    <xf numFmtId="0" fontId="4" fillId="0" borderId="41" xfId="0" applyFont="1" applyBorder="1"/>
    <xf numFmtId="0" fontId="0" fillId="0" borderId="41" xfId="0" applyBorder="1"/>
    <xf numFmtId="165" fontId="11" fillId="0" borderId="41" xfId="3" applyNumberFormat="1" applyFont="1" applyBorder="1"/>
    <xf numFmtId="0" fontId="12" fillId="0" borderId="42" xfId="0" applyFont="1" applyBorder="1"/>
    <xf numFmtId="3" fontId="0" fillId="0" borderId="42" xfId="0" applyNumberFormat="1" applyBorder="1"/>
    <xf numFmtId="0" fontId="4" fillId="0" borderId="42" xfId="0" applyFont="1" applyBorder="1"/>
    <xf numFmtId="0" fontId="0" fillId="0" borderId="42" xfId="0" applyBorder="1"/>
    <xf numFmtId="0" fontId="12" fillId="0" borderId="43" xfId="0" applyFont="1" applyBorder="1"/>
    <xf numFmtId="3" fontId="0" fillId="0" borderId="43" xfId="0" applyNumberFormat="1" applyBorder="1"/>
    <xf numFmtId="0" fontId="4" fillId="0" borderId="43" xfId="0" applyFont="1" applyBorder="1"/>
    <xf numFmtId="0" fontId="0" fillId="0" borderId="43" xfId="0" applyBorder="1"/>
    <xf numFmtId="165" fontId="11" fillId="0" borderId="43" xfId="3" applyNumberFormat="1" applyFont="1" applyBorder="1"/>
    <xf numFmtId="0" fontId="11" fillId="0" borderId="41" xfId="0" applyFont="1" applyBorder="1"/>
    <xf numFmtId="0" fontId="11" fillId="0" borderId="42" xfId="0" applyFont="1" applyBorder="1"/>
    <xf numFmtId="0" fontId="11" fillId="0" borderId="43" xfId="0" applyFont="1" applyBorder="1"/>
    <xf numFmtId="165" fontId="11" fillId="0" borderId="0" xfId="3" applyNumberFormat="1" applyFont="1" applyBorder="1"/>
    <xf numFmtId="3" fontId="3" fillId="11" borderId="0" xfId="1" applyNumberFormat="1" applyFont="1" applyFill="1" applyAlignment="1">
      <alignment horizontal="center" wrapText="1"/>
    </xf>
    <xf numFmtId="3" fontId="3" fillId="11" borderId="0" xfId="1" applyNumberFormat="1" applyFont="1" applyFill="1" applyAlignment="1">
      <alignment horizontal="center"/>
    </xf>
    <xf numFmtId="3" fontId="11" fillId="11" borderId="0" xfId="1" applyNumberFormat="1" applyFont="1" applyFill="1"/>
    <xf numFmtId="3" fontId="7" fillId="11" borderId="0" xfId="1" applyNumberFormat="1" applyFont="1" applyFill="1"/>
    <xf numFmtId="3" fontId="3" fillId="11" borderId="0" xfId="1" applyNumberFormat="1" applyFont="1" applyFill="1"/>
    <xf numFmtId="3" fontId="11" fillId="11" borderId="7" xfId="1" applyNumberFormat="1" applyFont="1" applyFill="1" applyBorder="1"/>
    <xf numFmtId="3" fontId="11" fillId="11" borderId="6" xfId="1" applyNumberFormat="1" applyFont="1" applyFill="1" applyBorder="1"/>
    <xf numFmtId="3" fontId="12" fillId="11" borderId="6" xfId="1" applyNumberFormat="1" applyFont="1" applyFill="1" applyBorder="1"/>
    <xf numFmtId="3" fontId="3" fillId="11" borderId="6" xfId="1" applyNumberFormat="1" applyFont="1" applyFill="1" applyBorder="1"/>
    <xf numFmtId="3" fontId="7" fillId="11" borderId="6" xfId="1" applyNumberFormat="1" applyFont="1" applyFill="1" applyBorder="1"/>
    <xf numFmtId="3" fontId="7" fillId="11" borderId="12" xfId="1" applyNumberFormat="1" applyFont="1" applyFill="1" applyBorder="1"/>
    <xf numFmtId="3" fontId="4" fillId="11" borderId="6" xfId="1" applyNumberFormat="1" applyFont="1" applyFill="1" applyBorder="1"/>
    <xf numFmtId="0" fontId="0" fillId="0" borderId="44" xfId="0" applyBorder="1"/>
    <xf numFmtId="169" fontId="11" fillId="0" borderId="44" xfId="1" applyNumberFormat="1" applyFont="1" applyBorder="1"/>
    <xf numFmtId="3" fontId="11" fillId="0" borderId="44" xfId="1" applyNumberFormat="1" applyFont="1" applyBorder="1"/>
    <xf numFmtId="0" fontId="0" fillId="0" borderId="45" xfId="0" applyBorder="1"/>
    <xf numFmtId="169" fontId="11" fillId="0" borderId="45" xfId="1" applyNumberFormat="1" applyFont="1" applyBorder="1"/>
    <xf numFmtId="3" fontId="11" fillId="0" borderId="45" xfId="1" applyNumberFormat="1" applyFont="1" applyBorder="1"/>
    <xf numFmtId="0" fontId="0" fillId="0" borderId="46" xfId="0" applyBorder="1"/>
    <xf numFmtId="169" fontId="11" fillId="0" borderId="46" xfId="1" applyNumberFormat="1" applyFont="1" applyBorder="1"/>
    <xf numFmtId="3" fontId="11" fillId="0" borderId="46" xfId="1" applyNumberFormat="1" applyFont="1" applyBorder="1"/>
    <xf numFmtId="3" fontId="12" fillId="11" borderId="0" xfId="1" applyNumberFormat="1" applyFont="1" applyFill="1"/>
    <xf numFmtId="169" fontId="11" fillId="0" borderId="0" xfId="1" applyNumberFormat="1" applyFont="1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wrapText="1"/>
    </xf>
    <xf numFmtId="0" fontId="3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0" fontId="25" fillId="0" borderId="12" xfId="7" applyNumberFormat="1" applyFont="1" applyFill="1" applyBorder="1" applyAlignment="1" applyProtection="1">
      <alignment horizontal="right"/>
    </xf>
    <xf numFmtId="10" fontId="25" fillId="0" borderId="12" xfId="0" applyNumberFormat="1" applyFont="1" applyBorder="1" applyAlignment="1">
      <alignment horizontal="right"/>
    </xf>
    <xf numFmtId="0" fontId="0" fillId="0" borderId="0" xfId="0" applyAlignment="1">
      <alignment horizontal="left" indent="1"/>
    </xf>
    <xf numFmtId="3" fontId="31" fillId="0" borderId="0" xfId="0" applyNumberFormat="1" applyFont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horizontal="center"/>
    </xf>
    <xf numFmtId="170" fontId="32" fillId="0" borderId="0" xfId="7" applyNumberFormat="1" applyFont="1"/>
    <xf numFmtId="0" fontId="30" fillId="0" borderId="0" xfId="0" applyFont="1" applyAlignment="1">
      <alignment horizontal="left"/>
    </xf>
    <xf numFmtId="0" fontId="32" fillId="0" borderId="0" xfId="0" applyFont="1"/>
    <xf numFmtId="0" fontId="0" fillId="0" borderId="0" xfId="0" applyAlignment="1">
      <alignment horizontal="left"/>
    </xf>
    <xf numFmtId="168" fontId="30" fillId="0" borderId="0" xfId="1" applyFont="1"/>
    <xf numFmtId="9" fontId="0" fillId="0" borderId="0" xfId="0" applyNumberFormat="1"/>
    <xf numFmtId="174" fontId="0" fillId="0" borderId="0" xfId="3" applyNumberFormat="1" applyFont="1"/>
    <xf numFmtId="174" fontId="0" fillId="0" borderId="0" xfId="0" applyNumberFormat="1"/>
    <xf numFmtId="170" fontId="0" fillId="0" borderId="0" xfId="0" applyNumberFormat="1"/>
    <xf numFmtId="3" fontId="11" fillId="0" borderId="0" xfId="1" applyNumberFormat="1" applyFont="1" applyBorder="1"/>
    <xf numFmtId="169" fontId="4" fillId="0" borderId="41" xfId="1" applyNumberFormat="1" applyFont="1" applyBorder="1"/>
    <xf numFmtId="3" fontId="11" fillId="0" borderId="41" xfId="1" applyNumberFormat="1" applyFont="1" applyBorder="1"/>
    <xf numFmtId="169" fontId="4" fillId="0" borderId="43" xfId="1" applyNumberFormat="1" applyFont="1" applyBorder="1"/>
    <xf numFmtId="3" fontId="11" fillId="0" borderId="43" xfId="1" applyNumberFormat="1" applyFont="1" applyBorder="1"/>
    <xf numFmtId="0" fontId="19" fillId="0" borderId="41" xfId="0" applyFont="1" applyBorder="1"/>
    <xf numFmtId="4" fontId="19" fillId="0" borderId="41" xfId="0" applyNumberFormat="1" applyFont="1" applyBorder="1"/>
    <xf numFmtId="0" fontId="19" fillId="0" borderId="42" xfId="0" applyFont="1" applyBorder="1"/>
    <xf numFmtId="4" fontId="19" fillId="0" borderId="42" xfId="0" applyNumberFormat="1" applyFont="1" applyBorder="1"/>
    <xf numFmtId="0" fontId="3" fillId="0" borderId="43" xfId="0" applyFont="1" applyBorder="1"/>
    <xf numFmtId="0" fontId="19" fillId="0" borderId="43" xfId="0" applyFont="1" applyBorder="1"/>
    <xf numFmtId="4" fontId="22" fillId="0" borderId="43" xfId="0" applyNumberFormat="1" applyFont="1" applyBorder="1"/>
    <xf numFmtId="0" fontId="22" fillId="0" borderId="43" xfId="0" applyFont="1" applyBorder="1"/>
    <xf numFmtId="4" fontId="19" fillId="0" borderId="43" xfId="0" applyNumberFormat="1" applyFont="1" applyBorder="1"/>
    <xf numFmtId="4" fontId="3" fillId="0" borderId="43" xfId="0" applyNumberFormat="1" applyFont="1" applyBorder="1"/>
    <xf numFmtId="4" fontId="0" fillId="0" borderId="43" xfId="0" applyNumberFormat="1" applyBorder="1"/>
    <xf numFmtId="4" fontId="0" fillId="0" borderId="41" xfId="0" applyNumberFormat="1" applyBorder="1"/>
    <xf numFmtId="3" fontId="3" fillId="0" borderId="43" xfId="0" applyNumberFormat="1" applyFont="1" applyBorder="1"/>
    <xf numFmtId="3" fontId="0" fillId="8" borderId="10" xfId="0" applyNumberFormat="1" applyFill="1" applyBorder="1"/>
    <xf numFmtId="0" fontId="0" fillId="0" borderId="24" xfId="0" applyBorder="1"/>
    <xf numFmtId="0" fontId="0" fillId="0" borderId="25" xfId="0" applyBorder="1"/>
    <xf numFmtId="0" fontId="3" fillId="0" borderId="3" xfId="0" applyFont="1" applyBorder="1"/>
    <xf numFmtId="0" fontId="3" fillId="0" borderId="1" xfId="0" applyFont="1" applyBorder="1"/>
    <xf numFmtId="0" fontId="0" fillId="0" borderId="4" xfId="0" applyBorder="1"/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3" fontId="19" fillId="0" borderId="41" xfId="0" applyNumberFormat="1" applyFont="1" applyBorder="1"/>
    <xf numFmtId="3" fontId="19" fillId="0" borderId="42" xfId="0" applyNumberFormat="1" applyFont="1" applyBorder="1"/>
    <xf numFmtId="3" fontId="22" fillId="0" borderId="43" xfId="0" applyNumberFormat="1" applyFont="1" applyBorder="1"/>
    <xf numFmtId="3" fontId="19" fillId="0" borderId="43" xfId="0" applyNumberFormat="1" applyFont="1" applyBorder="1"/>
    <xf numFmtId="3" fontId="22" fillId="0" borderId="0" xfId="0" applyNumberFormat="1" applyFont="1"/>
    <xf numFmtId="3" fontId="3" fillId="9" borderId="0" xfId="0" applyNumberFormat="1" applyFont="1" applyFill="1" applyAlignment="1">
      <alignment horizontal="center"/>
    </xf>
    <xf numFmtId="3" fontId="3" fillId="9" borderId="0" xfId="0" applyNumberFormat="1" applyFont="1" applyFill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7" borderId="22" xfId="0" applyNumberFormat="1" applyFont="1" applyFill="1" applyBorder="1" applyAlignment="1">
      <alignment horizontal="center"/>
    </xf>
    <xf numFmtId="3" fontId="3" fillId="7" borderId="23" xfId="0" applyNumberFormat="1" applyFont="1" applyFill="1" applyBorder="1" applyAlignment="1">
      <alignment horizontal="center"/>
    </xf>
    <xf numFmtId="3" fontId="3" fillId="7" borderId="21" xfId="0" applyNumberFormat="1" applyFont="1" applyFill="1" applyBorder="1" applyAlignment="1">
      <alignment horizontal="center"/>
    </xf>
    <xf numFmtId="3" fontId="3" fillId="7" borderId="18" xfId="0" applyNumberFormat="1" applyFont="1" applyFill="1" applyBorder="1" applyAlignment="1">
      <alignment horizontal="center"/>
    </xf>
    <xf numFmtId="0" fontId="3" fillId="0" borderId="30" xfId="0" applyFont="1" applyBorder="1"/>
    <xf numFmtId="0" fontId="0" fillId="0" borderId="30" xfId="0" applyBorder="1"/>
    <xf numFmtId="4" fontId="3" fillId="0" borderId="30" xfId="0" applyNumberFormat="1" applyFont="1" applyBorder="1"/>
    <xf numFmtId="3" fontId="3" fillId="0" borderId="30" xfId="0" applyNumberFormat="1" applyFont="1" applyBorder="1"/>
    <xf numFmtId="3" fontId="0" fillId="0" borderId="30" xfId="0" applyNumberFormat="1" applyBorder="1"/>
    <xf numFmtId="0" fontId="3" fillId="0" borderId="31" xfId="0" applyFont="1" applyBorder="1"/>
    <xf numFmtId="0" fontId="0" fillId="0" borderId="31" xfId="0" applyBorder="1"/>
    <xf numFmtId="4" fontId="3" fillId="0" borderId="31" xfId="0" applyNumberFormat="1" applyFont="1" applyBorder="1"/>
    <xf numFmtId="3" fontId="3" fillId="0" borderId="31" xfId="0" applyNumberFormat="1" applyFont="1" applyBorder="1"/>
    <xf numFmtId="3" fontId="0" fillId="0" borderId="31" xfId="0" applyNumberFormat="1" applyBorder="1"/>
    <xf numFmtId="3" fontId="3" fillId="0" borderId="27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0" fontId="18" fillId="0" borderId="30" xfId="0" applyFont="1" applyBorder="1"/>
    <xf numFmtId="0" fontId="18" fillId="0" borderId="31" xfId="0" applyFont="1" applyBorder="1"/>
    <xf numFmtId="3" fontId="0" fillId="0" borderId="47" xfId="0" applyNumberFormat="1" applyBorder="1"/>
    <xf numFmtId="0" fontId="28" fillId="0" borderId="0" xfId="5" applyProtection="1">
      <protection locked="0"/>
    </xf>
    <xf numFmtId="175" fontId="33" fillId="0" borderId="32" xfId="6" applyNumberFormat="1" applyFont="1" applyBorder="1" applyAlignment="1">
      <alignment horizontal="center" wrapText="1"/>
    </xf>
    <xf numFmtId="176" fontId="33" fillId="8" borderId="32" xfId="6" applyNumberFormat="1" applyFont="1" applyFill="1" applyBorder="1" applyAlignment="1">
      <alignment horizontal="center"/>
    </xf>
    <xf numFmtId="0" fontId="33" fillId="3" borderId="32" xfId="6" applyFont="1" applyFill="1" applyBorder="1" applyAlignment="1">
      <alignment horizontal="centerContinuous" vertical="center"/>
    </xf>
    <xf numFmtId="177" fontId="33" fillId="0" borderId="32" xfId="6" applyNumberFormat="1" applyFont="1" applyBorder="1" applyAlignment="1">
      <alignment horizontal="right" vertical="center"/>
    </xf>
    <xf numFmtId="0" fontId="34" fillId="0" borderId="0" xfId="6" applyFont="1" applyAlignment="1" applyProtection="1">
      <alignment horizontal="center"/>
      <protection locked="0"/>
    </xf>
    <xf numFmtId="0" fontId="35" fillId="0" borderId="0" xfId="6" applyFont="1" applyAlignment="1" applyProtection="1">
      <alignment wrapText="1"/>
      <protection locked="0"/>
    </xf>
    <xf numFmtId="17" fontId="33" fillId="0" borderId="26" xfId="6" applyNumberFormat="1" applyFont="1" applyBorder="1" applyAlignment="1">
      <alignment horizontal="center"/>
    </xf>
    <xf numFmtId="176" fontId="33" fillId="8" borderId="26" xfId="6" applyNumberFormat="1" applyFont="1" applyFill="1" applyBorder="1" applyAlignment="1">
      <alignment horizontal="center"/>
    </xf>
    <xf numFmtId="177" fontId="33" fillId="0" borderId="26" xfId="6" applyNumberFormat="1" applyFont="1" applyBorder="1" applyAlignment="1">
      <alignment horizontal="center"/>
    </xf>
    <xf numFmtId="178" fontId="36" fillId="0" borderId="0" xfId="6" applyNumberFormat="1" applyFont="1" applyAlignment="1" applyProtection="1">
      <alignment horizontal="right" vertical="center"/>
      <protection locked="0"/>
    </xf>
    <xf numFmtId="0" fontId="37" fillId="0" borderId="0" xfId="6" applyFont="1" applyAlignment="1" applyProtection="1">
      <alignment horizontal="center" wrapText="1"/>
      <protection locked="0"/>
    </xf>
    <xf numFmtId="49" fontId="38" fillId="0" borderId="0" xfId="6" applyNumberFormat="1" applyFont="1" applyAlignment="1">
      <alignment horizontal="left" vertical="center"/>
    </xf>
    <xf numFmtId="0" fontId="33" fillId="0" borderId="0" xfId="6" applyFont="1" applyAlignment="1">
      <alignment horizontal="left" vertical="center"/>
    </xf>
    <xf numFmtId="0" fontId="38" fillId="0" borderId="0" xfId="6" applyFont="1" applyAlignment="1">
      <alignment horizontal="left" vertical="center"/>
    </xf>
    <xf numFmtId="0" fontId="38" fillId="0" borderId="0" xfId="6" quotePrefix="1" applyFont="1" applyAlignment="1">
      <alignment vertical="center"/>
    </xf>
    <xf numFmtId="0" fontId="29" fillId="0" borderId="0" xfId="5" applyFont="1" applyAlignment="1">
      <alignment horizontal="left"/>
    </xf>
    <xf numFmtId="0" fontId="38" fillId="0" borderId="0" xfId="0" applyFont="1"/>
    <xf numFmtId="0" fontId="38" fillId="0" borderId="0" xfId="0" applyFont="1" applyAlignment="1">
      <alignment horizontal="left"/>
    </xf>
    <xf numFmtId="0" fontId="29" fillId="12" borderId="0" xfId="5" applyFont="1" applyFill="1" applyAlignment="1">
      <alignment wrapText="1"/>
    </xf>
    <xf numFmtId="0" fontId="28" fillId="0" borderId="0" xfId="5"/>
    <xf numFmtId="0" fontId="38" fillId="0" borderId="41" xfId="0" applyFont="1" applyBorder="1"/>
    <xf numFmtId="0" fontId="38" fillId="0" borderId="42" xfId="0" applyFont="1" applyBorder="1"/>
    <xf numFmtId="3" fontId="33" fillId="0" borderId="32" xfId="6" applyNumberFormat="1" applyFont="1" applyBorder="1" applyAlignment="1">
      <alignment horizontal="center" wrapText="1"/>
    </xf>
    <xf numFmtId="3" fontId="33" fillId="0" borderId="26" xfId="6" applyNumberFormat="1" applyFont="1" applyBorder="1" applyAlignment="1">
      <alignment horizontal="center"/>
    </xf>
    <xf numFmtId="3" fontId="38" fillId="0" borderId="0" xfId="0" applyNumberFormat="1" applyFont="1"/>
    <xf numFmtId="3" fontId="33" fillId="12" borderId="30" xfId="0" applyNumberFormat="1" applyFont="1" applyFill="1" applyBorder="1"/>
    <xf numFmtId="176" fontId="38" fillId="13" borderId="0" xfId="6" applyNumberFormat="1" applyFont="1" applyFill="1" applyAlignment="1">
      <alignment horizontal="right" vertical="center"/>
    </xf>
    <xf numFmtId="49" fontId="28" fillId="0" borderId="0" xfId="5" applyNumberFormat="1" applyAlignment="1">
      <alignment horizontal="left"/>
    </xf>
    <xf numFmtId="0" fontId="33" fillId="0" borderId="0" xfId="0" applyFont="1"/>
    <xf numFmtId="0" fontId="38" fillId="8" borderId="0" xfId="0" applyFont="1" applyFill="1"/>
    <xf numFmtId="0" fontId="33" fillId="0" borderId="24" xfId="6" applyFont="1" applyBorder="1" applyAlignment="1">
      <alignment horizontal="center"/>
    </xf>
    <xf numFmtId="0" fontId="33" fillId="0" borderId="4" xfId="6" applyFont="1" applyBorder="1" applyAlignment="1">
      <alignment horizontal="center"/>
    </xf>
    <xf numFmtId="0" fontId="38" fillId="0" borderId="0" xfId="6" applyFont="1" applyAlignment="1">
      <alignment horizontal="center"/>
    </xf>
    <xf numFmtId="3" fontId="33" fillId="0" borderId="0" xfId="0" applyNumberFormat="1" applyFont="1"/>
    <xf numFmtId="17" fontId="33" fillId="8" borderId="26" xfId="6" applyNumberFormat="1" applyFont="1" applyFill="1" applyBorder="1" applyAlignment="1">
      <alignment horizontal="center"/>
    </xf>
    <xf numFmtId="0" fontId="33" fillId="0" borderId="0" xfId="6" applyFont="1" applyAlignment="1" applyProtection="1">
      <alignment horizontal="center" wrapText="1"/>
      <protection locked="0"/>
    </xf>
    <xf numFmtId="0" fontId="38" fillId="0" borderId="0" xfId="6" applyFont="1" applyProtection="1">
      <protection locked="0"/>
    </xf>
    <xf numFmtId="0" fontId="33" fillId="0" borderId="0" xfId="6" applyFont="1" applyAlignment="1" applyProtection="1">
      <alignment horizontal="center"/>
      <protection locked="0"/>
    </xf>
    <xf numFmtId="17" fontId="33" fillId="7" borderId="26" xfId="6" applyNumberFormat="1" applyFont="1" applyFill="1" applyBorder="1" applyAlignment="1">
      <alignment horizontal="center"/>
    </xf>
    <xf numFmtId="3" fontId="38" fillId="7" borderId="0" xfId="0" applyNumberFormat="1" applyFont="1" applyFill="1"/>
    <xf numFmtId="0" fontId="38" fillId="7" borderId="0" xfId="0" applyFont="1" applyFill="1"/>
    <xf numFmtId="3" fontId="38" fillId="8" borderId="0" xfId="0" applyNumberFormat="1" applyFont="1" applyFill="1"/>
    <xf numFmtId="0" fontId="0" fillId="8" borderId="0" xfId="0" applyFill="1"/>
    <xf numFmtId="0" fontId="27" fillId="7" borderId="0" xfId="0" applyFont="1" applyFill="1"/>
    <xf numFmtId="0" fontId="27" fillId="0" borderId="0" xfId="0" applyFont="1"/>
    <xf numFmtId="176" fontId="33" fillId="14" borderId="30" xfId="6" applyNumberFormat="1" applyFont="1" applyFill="1" applyBorder="1" applyAlignment="1">
      <alignment horizontal="right" vertical="center"/>
    </xf>
    <xf numFmtId="176" fontId="38" fillId="8" borderId="0" xfId="6" applyNumberFormat="1" applyFont="1" applyFill="1" applyAlignment="1">
      <alignment horizontal="right" vertical="center"/>
    </xf>
    <xf numFmtId="176" fontId="38" fillId="8" borderId="26" xfId="6" applyNumberFormat="1" applyFont="1" applyFill="1" applyBorder="1" applyAlignment="1">
      <alignment horizontal="right" vertical="center"/>
    </xf>
    <xf numFmtId="0" fontId="33" fillId="0" borderId="32" xfId="6" applyFont="1" applyBorder="1" applyAlignment="1">
      <alignment horizontal="center" wrapText="1"/>
    </xf>
    <xf numFmtId="0" fontId="33" fillId="0" borderId="26" xfId="6" applyFont="1" applyBorder="1" applyAlignment="1">
      <alignment horizontal="center"/>
    </xf>
    <xf numFmtId="176" fontId="33" fillId="8" borderId="32" xfId="6" applyNumberFormat="1" applyFont="1" applyFill="1" applyBorder="1" applyAlignment="1">
      <alignment horizontal="center" wrapText="1"/>
    </xf>
    <xf numFmtId="3" fontId="38" fillId="15" borderId="0" xfId="0" applyNumberFormat="1" applyFont="1" applyFill="1"/>
    <xf numFmtId="0" fontId="39" fillId="0" borderId="55" xfId="0" applyFont="1" applyBorder="1" applyAlignment="1">
      <alignment horizontal="center"/>
    </xf>
    <xf numFmtId="0" fontId="39" fillId="0" borderId="56" xfId="0" applyFont="1" applyBorder="1" applyAlignment="1">
      <alignment horizontal="center"/>
    </xf>
    <xf numFmtId="0" fontId="40" fillId="16" borderId="57" xfId="0" applyFont="1" applyFill="1" applyBorder="1" applyAlignment="1">
      <alignment horizontal="center" vertical="top"/>
    </xf>
    <xf numFmtId="0" fontId="40" fillId="16" borderId="58" xfId="0" applyFont="1" applyFill="1" applyBorder="1" applyAlignment="1">
      <alignment horizontal="center" vertical="top"/>
    </xf>
    <xf numFmtId="0" fontId="41" fillId="0" borderId="60" xfId="0" applyFont="1" applyBorder="1" applyAlignment="1">
      <alignment vertical="top"/>
    </xf>
    <xf numFmtId="179" fontId="42" fillId="0" borderId="61" xfId="0" applyNumberFormat="1" applyFont="1" applyBorder="1" applyAlignment="1">
      <alignment horizontal="right" vertical="top"/>
    </xf>
    <xf numFmtId="179" fontId="41" fillId="0" borderId="60" xfId="0" applyNumberFormat="1" applyFont="1" applyBorder="1" applyAlignment="1">
      <alignment horizontal="right" vertical="top"/>
    </xf>
    <xf numFmtId="179" fontId="41" fillId="0" borderId="61" xfId="0" applyNumberFormat="1" applyFont="1" applyBorder="1" applyAlignment="1">
      <alignment horizontal="right" vertical="top"/>
    </xf>
    <xf numFmtId="0" fontId="40" fillId="17" borderId="64" xfId="0" applyFont="1" applyFill="1" applyBorder="1" applyAlignment="1">
      <alignment vertical="top"/>
    </xf>
    <xf numFmtId="179" fontId="40" fillId="17" borderId="65" xfId="0" applyNumberFormat="1" applyFont="1" applyFill="1" applyBorder="1" applyAlignment="1">
      <alignment horizontal="right" vertical="top"/>
    </xf>
    <xf numFmtId="179" fontId="40" fillId="18" borderId="57" xfId="0" applyNumberFormat="1" applyFont="1" applyFill="1" applyBorder="1" applyAlignment="1">
      <alignment horizontal="right" vertical="top"/>
    </xf>
    <xf numFmtId="179" fontId="40" fillId="17" borderId="68" xfId="0" applyNumberFormat="1" applyFont="1" applyFill="1" applyBorder="1" applyAlignment="1">
      <alignment horizontal="right" vertical="top"/>
    </xf>
    <xf numFmtId="179" fontId="40" fillId="18" borderId="58" xfId="0" applyNumberFormat="1" applyFont="1" applyFill="1" applyBorder="1" applyAlignment="1">
      <alignment horizontal="right" vertical="top"/>
    </xf>
    <xf numFmtId="179" fontId="40" fillId="17" borderId="57" xfId="0" applyNumberFormat="1" applyFont="1" applyFill="1" applyBorder="1" applyAlignment="1">
      <alignment horizontal="right" vertical="top"/>
    </xf>
    <xf numFmtId="0" fontId="0" fillId="0" borderId="70" xfId="0" applyBorder="1"/>
    <xf numFmtId="0" fontId="43" fillId="21" borderId="0" xfId="0" applyFont="1" applyFill="1"/>
    <xf numFmtId="0" fontId="38" fillId="22" borderId="72" xfId="6" applyFont="1" applyFill="1" applyBorder="1" applyAlignment="1">
      <alignment horizontal="left" vertical="center"/>
    </xf>
    <xf numFmtId="0" fontId="38" fillId="22" borderId="72" xfId="6" quotePrefix="1" applyFont="1" applyFill="1" applyBorder="1" applyAlignment="1">
      <alignment vertical="center"/>
    </xf>
    <xf numFmtId="0" fontId="38" fillId="22" borderId="72" xfId="0" applyFont="1" applyFill="1" applyBorder="1" applyAlignment="1">
      <alignment horizontal="left"/>
    </xf>
    <xf numFmtId="0" fontId="38" fillId="22" borderId="72" xfId="0" applyFont="1" applyFill="1" applyBorder="1"/>
    <xf numFmtId="0" fontId="38" fillId="0" borderId="72" xfId="0" applyFont="1" applyBorder="1" applyAlignment="1">
      <alignment horizontal="left"/>
    </xf>
    <xf numFmtId="0" fontId="38" fillId="0" borderId="72" xfId="0" applyFont="1" applyBorder="1"/>
    <xf numFmtId="0" fontId="38" fillId="0" borderId="72" xfId="6" applyFont="1" applyBorder="1" applyAlignment="1">
      <alignment horizontal="left" vertical="center"/>
    </xf>
    <xf numFmtId="0" fontId="38" fillId="0" borderId="72" xfId="6" quotePrefix="1" applyFont="1" applyBorder="1" applyAlignment="1">
      <alignment vertical="center"/>
    </xf>
    <xf numFmtId="0" fontId="44" fillId="20" borderId="0" xfId="0" applyFont="1" applyFill="1"/>
    <xf numFmtId="39" fontId="44" fillId="20" borderId="0" xfId="0" applyNumberFormat="1" applyFont="1" applyFill="1"/>
    <xf numFmtId="40" fontId="44" fillId="20" borderId="0" xfId="0" applyNumberFormat="1" applyFont="1" applyFill="1"/>
    <xf numFmtId="38" fontId="38" fillId="22" borderId="72" xfId="0" applyNumberFormat="1" applyFont="1" applyFill="1" applyBorder="1"/>
    <xf numFmtId="38" fontId="38" fillId="0" borderId="72" xfId="0" applyNumberFormat="1" applyFont="1" applyBorder="1"/>
    <xf numFmtId="0" fontId="38" fillId="19" borderId="72" xfId="0" applyFont="1" applyFill="1" applyBorder="1"/>
    <xf numFmtId="38" fontId="33" fillId="0" borderId="0" xfId="0" applyNumberFormat="1" applyFont="1"/>
    <xf numFmtId="6" fontId="0" fillId="0" borderId="0" xfId="0" applyNumberFormat="1"/>
    <xf numFmtId="0" fontId="46" fillId="0" borderId="0" xfId="0" applyFont="1"/>
    <xf numFmtId="0" fontId="0" fillId="0" borderId="73" xfId="0" applyBorder="1"/>
    <xf numFmtId="0" fontId="45" fillId="23" borderId="73" xfId="5" applyFont="1" applyFill="1" applyBorder="1"/>
    <xf numFmtId="0" fontId="49" fillId="23" borderId="73" xfId="5" applyFont="1" applyFill="1" applyBorder="1"/>
    <xf numFmtId="180" fontId="49" fillId="23" borderId="73" xfId="9" applyNumberFormat="1" applyFont="1" applyFill="1" applyBorder="1" applyAlignment="1">
      <alignment horizontal="center"/>
    </xf>
    <xf numFmtId="180" fontId="49" fillId="23" borderId="73" xfId="1" applyNumberFormat="1" applyFont="1" applyFill="1" applyBorder="1" applyAlignment="1"/>
    <xf numFmtId="180" fontId="49" fillId="23" borderId="73" xfId="9" applyNumberFormat="1" applyFont="1" applyFill="1" applyBorder="1" applyAlignment="1"/>
    <xf numFmtId="180" fontId="50" fillId="23" borderId="73" xfId="9" applyNumberFormat="1" applyFont="1" applyFill="1" applyBorder="1" applyAlignment="1"/>
    <xf numFmtId="180" fontId="45" fillId="23" borderId="0" xfId="5" applyNumberFormat="1" applyFont="1" applyFill="1"/>
    <xf numFmtId="0" fontId="0" fillId="23" borderId="0" xfId="0" applyFill="1"/>
    <xf numFmtId="0" fontId="45" fillId="23" borderId="0" xfId="5" applyFont="1" applyFill="1"/>
    <xf numFmtId="180" fontId="50" fillId="23" borderId="0" xfId="9" applyNumberFormat="1" applyFont="1" applyFill="1" applyBorder="1" applyAlignment="1">
      <alignment horizontal="center"/>
    </xf>
    <xf numFmtId="0" fontId="49" fillId="23" borderId="0" xfId="5" applyFont="1" applyFill="1"/>
    <xf numFmtId="180" fontId="49" fillId="23" borderId="0" xfId="9" applyNumberFormat="1" applyFont="1" applyFill="1" applyBorder="1" applyAlignment="1">
      <alignment horizontal="center"/>
    </xf>
    <xf numFmtId="180" fontId="48" fillId="23" borderId="0" xfId="1" applyNumberFormat="1" applyFont="1" applyFill="1" applyBorder="1" applyAlignment="1">
      <alignment horizontal="left"/>
    </xf>
    <xf numFmtId="180" fontId="49" fillId="23" borderId="0" xfId="9" applyNumberFormat="1" applyFont="1" applyFill="1" applyBorder="1" applyAlignment="1"/>
    <xf numFmtId="180" fontId="3" fillId="23" borderId="0" xfId="1" applyNumberFormat="1" applyFont="1" applyFill="1" applyBorder="1" applyAlignment="1"/>
    <xf numFmtId="0" fontId="0" fillId="24" borderId="0" xfId="0" applyFill="1"/>
    <xf numFmtId="0" fontId="51" fillId="24" borderId="0" xfId="5" applyFont="1" applyFill="1"/>
    <xf numFmtId="0" fontId="45" fillId="24" borderId="0" xfId="5" applyFont="1" applyFill="1"/>
    <xf numFmtId="181" fontId="3" fillId="24" borderId="0" xfId="0" applyNumberFormat="1" applyFont="1" applyFill="1"/>
    <xf numFmtId="5" fontId="3" fillId="24" borderId="0" xfId="0" applyNumberFormat="1" applyFont="1" applyFill="1"/>
    <xf numFmtId="181" fontId="45" fillId="24" borderId="0" xfId="5" applyNumberFormat="1" applyFont="1" applyFill="1"/>
    <xf numFmtId="181" fontId="0" fillId="24" borderId="0" xfId="9" applyNumberFormat="1" applyFont="1" applyFill="1" applyBorder="1"/>
    <xf numFmtId="181" fontId="0" fillId="24" borderId="0" xfId="1" applyNumberFormat="1" applyFont="1" applyFill="1" applyBorder="1" applyAlignment="1"/>
    <xf numFmtId="181" fontId="0" fillId="24" borderId="0" xfId="9" applyNumberFormat="1" applyFont="1" applyFill="1" applyBorder="1" applyAlignment="1"/>
    <xf numFmtId="180" fontId="0" fillId="23" borderId="0" xfId="1" applyNumberFormat="1" applyFont="1" applyFill="1" applyBorder="1" applyAlignment="1"/>
    <xf numFmtId="0" fontId="0" fillId="25" borderId="0" xfId="0" applyFill="1"/>
    <xf numFmtId="0" fontId="51" fillId="25" borderId="0" xfId="5" applyFont="1" applyFill="1"/>
    <xf numFmtId="0" fontId="45" fillId="25" borderId="0" xfId="5" applyFont="1" applyFill="1"/>
    <xf numFmtId="181" fontId="3" fillId="25" borderId="0" xfId="0" applyNumberFormat="1" applyFont="1" applyFill="1"/>
    <xf numFmtId="5" fontId="3" fillId="25" borderId="0" xfId="0" applyNumberFormat="1" applyFont="1" applyFill="1"/>
    <xf numFmtId="181" fontId="45" fillId="25" borderId="0" xfId="5" applyNumberFormat="1" applyFont="1" applyFill="1"/>
    <xf numFmtId="181" fontId="0" fillId="25" borderId="0" xfId="9" applyNumberFormat="1" applyFont="1" applyFill="1" applyBorder="1"/>
    <xf numFmtId="181" fontId="0" fillId="25" borderId="0" xfId="1" applyNumberFormat="1" applyFont="1" applyFill="1" applyBorder="1" applyAlignment="1"/>
    <xf numFmtId="181" fontId="0" fillId="25" borderId="0" xfId="9" applyNumberFormat="1" applyFont="1" applyFill="1" applyBorder="1" applyAlignment="1"/>
    <xf numFmtId="0" fontId="51" fillId="7" borderId="0" xfId="5" applyFont="1" applyFill="1" applyAlignment="1">
      <alignment horizontal="left" indent="1"/>
    </xf>
    <xf numFmtId="0" fontId="45" fillId="7" borderId="0" xfId="5" applyFont="1" applyFill="1"/>
    <xf numFmtId="0" fontId="52" fillId="7" borderId="0" xfId="5" applyFont="1" applyFill="1"/>
    <xf numFmtId="181" fontId="3" fillId="7" borderId="0" xfId="9" applyNumberFormat="1" applyFont="1" applyFill="1" applyBorder="1"/>
    <xf numFmtId="5" fontId="3" fillId="7" borderId="0" xfId="10" applyNumberFormat="1" applyFont="1" applyFill="1" applyBorder="1"/>
    <xf numFmtId="181" fontId="53" fillId="7" borderId="0" xfId="5" applyNumberFormat="1" applyFont="1" applyFill="1"/>
    <xf numFmtId="181" fontId="54" fillId="7" borderId="0" xfId="10" applyNumberFormat="1" applyFont="1" applyFill="1" applyBorder="1"/>
    <xf numFmtId="181" fontId="55" fillId="7" borderId="0" xfId="1" applyNumberFormat="1" applyFont="1" applyFill="1" applyBorder="1" applyAlignment="1"/>
    <xf numFmtId="181" fontId="3" fillId="7" borderId="0" xfId="10" applyNumberFormat="1" applyFont="1" applyFill="1" applyBorder="1" applyAlignment="1"/>
    <xf numFmtId="182" fontId="56" fillId="23" borderId="0" xfId="10" applyNumberFormat="1" applyFont="1" applyFill="1" applyBorder="1"/>
    <xf numFmtId="182" fontId="57" fillId="23" borderId="0" xfId="1" applyNumberFormat="1" applyFont="1" applyFill="1" applyBorder="1" applyAlignment="1"/>
    <xf numFmtId="0" fontId="51" fillId="7" borderId="0" xfId="5" applyFont="1" applyFill="1"/>
    <xf numFmtId="182" fontId="56" fillId="23" borderId="0" xfId="9" applyNumberFormat="1" applyFont="1" applyFill="1" applyBorder="1"/>
    <xf numFmtId="182" fontId="54" fillId="23" borderId="0" xfId="10" applyNumberFormat="1" applyFont="1" applyFill="1" applyBorder="1"/>
    <xf numFmtId="182" fontId="55" fillId="23" borderId="0" xfId="1" applyNumberFormat="1" applyFont="1" applyFill="1" applyBorder="1" applyAlignment="1"/>
    <xf numFmtId="183" fontId="0" fillId="0" borderId="0" xfId="9" applyNumberFormat="1" applyFont="1" applyFill="1" applyBorder="1"/>
    <xf numFmtId="183" fontId="0" fillId="0" borderId="0" xfId="10" applyNumberFormat="1" applyFont="1" applyFill="1" applyBorder="1"/>
    <xf numFmtId="184" fontId="0" fillId="0" borderId="0" xfId="0" applyNumberFormat="1"/>
    <xf numFmtId="184" fontId="0" fillId="0" borderId="0" xfId="9" applyNumberFormat="1" applyFont="1" applyFill="1" applyBorder="1"/>
    <xf numFmtId="182" fontId="56" fillId="0" borderId="0" xfId="10" applyNumberFormat="1" applyFont="1" applyFill="1" applyBorder="1"/>
    <xf numFmtId="182" fontId="57" fillId="0" borderId="0" xfId="1" applyNumberFormat="1" applyFont="1" applyFill="1" applyBorder="1" applyAlignment="1"/>
    <xf numFmtId="182" fontId="0" fillId="0" borderId="0" xfId="9" applyNumberFormat="1" applyFont="1" applyFill="1" applyBorder="1" applyAlignment="1"/>
    <xf numFmtId="0" fontId="51" fillId="0" borderId="0" xfId="11" applyFont="1"/>
    <xf numFmtId="183" fontId="3" fillId="0" borderId="0" xfId="9" applyNumberFormat="1" applyFont="1" applyFill="1" applyBorder="1"/>
    <xf numFmtId="183" fontId="3" fillId="0" borderId="0" xfId="10" applyNumberFormat="1" applyFont="1" applyFill="1" applyBorder="1"/>
    <xf numFmtId="182" fontId="58" fillId="23" borderId="0" xfId="9" applyNumberFormat="1" applyFont="1" applyFill="1" applyBorder="1"/>
    <xf numFmtId="182" fontId="59" fillId="23" borderId="0" xfId="10" applyNumberFormat="1" applyFont="1" applyFill="1" applyBorder="1"/>
    <xf numFmtId="182" fontId="60" fillId="23" borderId="0" xfId="1" applyNumberFormat="1" applyFont="1" applyFill="1" applyBorder="1" applyAlignment="1"/>
    <xf numFmtId="182" fontId="58" fillId="23" borderId="0" xfId="9" applyNumberFormat="1" applyFont="1" applyFill="1" applyBorder="1" applyAlignment="1"/>
    <xf numFmtId="182" fontId="61" fillId="23" borderId="0" xfId="10" applyNumberFormat="1" applyFont="1" applyFill="1" applyBorder="1"/>
    <xf numFmtId="182" fontId="62" fillId="23" borderId="0" xfId="1" applyNumberFormat="1" applyFont="1" applyFill="1" applyBorder="1" applyAlignment="1"/>
    <xf numFmtId="182" fontId="0" fillId="23" borderId="0" xfId="9" applyNumberFormat="1" applyFont="1" applyFill="1" applyBorder="1"/>
    <xf numFmtId="182" fontId="0" fillId="23" borderId="0" xfId="9" applyNumberFormat="1" applyFont="1" applyFill="1" applyBorder="1" applyAlignment="1"/>
    <xf numFmtId="182" fontId="61" fillId="23" borderId="0" xfId="9" applyNumberFormat="1" applyFont="1" applyFill="1" applyBorder="1"/>
    <xf numFmtId="182" fontId="62" fillId="23" borderId="0" xfId="1" applyNumberFormat="1" applyFont="1" applyFill="1" applyBorder="1" applyAlignment="1">
      <alignment horizontal="center"/>
    </xf>
    <xf numFmtId="182" fontId="0" fillId="23" borderId="0" xfId="9" applyNumberFormat="1" applyFont="1" applyFill="1" applyBorder="1" applyAlignment="1">
      <alignment horizontal="center"/>
    </xf>
    <xf numFmtId="182" fontId="62" fillId="23" borderId="0" xfId="0" applyNumberFormat="1" applyFont="1" applyFill="1"/>
    <xf numFmtId="182" fontId="0" fillId="0" borderId="0" xfId="12" applyNumberFormat="1" applyFont="1" applyBorder="1"/>
    <xf numFmtId="182" fontId="63" fillId="23" borderId="0" xfId="5" applyNumberFormat="1" applyFont="1" applyFill="1"/>
    <xf numFmtId="0" fontId="45" fillId="23" borderId="0" xfId="11" applyFont="1" applyFill="1"/>
    <xf numFmtId="180" fontId="0" fillId="23" borderId="0" xfId="9" applyNumberFormat="1" applyFont="1" applyFill="1" applyBorder="1" applyAlignment="1">
      <alignment horizontal="center"/>
    </xf>
    <xf numFmtId="180" fontId="0" fillId="23" borderId="0" xfId="9" applyNumberFormat="1" applyFont="1" applyFill="1" applyBorder="1" applyAlignment="1"/>
    <xf numFmtId="180" fontId="45" fillId="23" borderId="0" xfId="11" applyNumberFormat="1" applyFont="1" applyFill="1"/>
    <xf numFmtId="180" fontId="45" fillId="23" borderId="77" xfId="9" applyNumberFormat="1" applyFont="1" applyFill="1" applyBorder="1" applyAlignment="1">
      <alignment horizontal="center"/>
    </xf>
    <xf numFmtId="180" fontId="45" fillId="23" borderId="0" xfId="9" applyNumberFormat="1" applyFont="1" applyFill="1" applyBorder="1" applyAlignment="1">
      <alignment horizontal="center"/>
    </xf>
    <xf numFmtId="180" fontId="45" fillId="23" borderId="78" xfId="9" applyNumberFormat="1" applyFont="1" applyFill="1" applyBorder="1" applyAlignment="1">
      <alignment horizontal="center"/>
    </xf>
    <xf numFmtId="180" fontId="3" fillId="23" borderId="0" xfId="1" applyNumberFormat="1" applyFont="1" applyFill="1" applyBorder="1" applyAlignment="1">
      <alignment horizontal="left"/>
    </xf>
    <xf numFmtId="0" fontId="0" fillId="0" borderId="77" xfId="0" applyBorder="1"/>
    <xf numFmtId="0" fontId="45" fillId="23" borderId="78" xfId="11" applyFont="1" applyFill="1" applyBorder="1"/>
    <xf numFmtId="180" fontId="0" fillId="23" borderId="77" xfId="9" applyNumberFormat="1" applyFont="1" applyFill="1" applyBorder="1"/>
    <xf numFmtId="180" fontId="0" fillId="23" borderId="0" xfId="9" applyNumberFormat="1" applyFont="1" applyFill="1" applyBorder="1"/>
    <xf numFmtId="180" fontId="0" fillId="23" borderId="78" xfId="9" applyNumberFormat="1" applyFont="1" applyFill="1" applyBorder="1"/>
    <xf numFmtId="0" fontId="51" fillId="26" borderId="74" xfId="11" applyFont="1" applyFill="1" applyBorder="1"/>
    <xf numFmtId="0" fontId="45" fillId="26" borderId="75" xfId="11" applyFont="1" applyFill="1" applyBorder="1"/>
    <xf numFmtId="0" fontId="45" fillId="22" borderId="76" xfId="11" applyFont="1" applyFill="1" applyBorder="1"/>
    <xf numFmtId="0" fontId="0" fillId="22" borderId="77" xfId="0" applyFill="1" applyBorder="1"/>
    <xf numFmtId="0" fontId="45" fillId="22" borderId="0" xfId="11" applyFont="1" applyFill="1"/>
    <xf numFmtId="0" fontId="45" fillId="22" borderId="78" xfId="11" applyFont="1" applyFill="1" applyBorder="1"/>
    <xf numFmtId="0" fontId="45" fillId="23" borderId="77" xfId="11" applyFont="1" applyFill="1" applyBorder="1"/>
    <xf numFmtId="4" fontId="0" fillId="0" borderId="77" xfId="0" applyNumberFormat="1" applyBorder="1"/>
    <xf numFmtId="4" fontId="45" fillId="23" borderId="0" xfId="11" applyNumberFormat="1" applyFont="1" applyFill="1"/>
    <xf numFmtId="4" fontId="45" fillId="23" borderId="78" xfId="11" applyNumberFormat="1" applyFont="1" applyFill="1" applyBorder="1"/>
    <xf numFmtId="0" fontId="51" fillId="23" borderId="77" xfId="11" applyFont="1" applyFill="1" applyBorder="1"/>
    <xf numFmtId="4" fontId="0" fillId="0" borderId="79" xfId="0" applyNumberFormat="1" applyBorder="1"/>
    <xf numFmtId="4" fontId="0" fillId="0" borderId="80" xfId="0" applyNumberFormat="1" applyBorder="1"/>
    <xf numFmtId="4" fontId="45" fillId="23" borderId="81" xfId="11" applyNumberFormat="1" applyFont="1" applyFill="1" applyBorder="1"/>
    <xf numFmtId="0" fontId="51" fillId="26" borderId="77" xfId="11" applyFont="1" applyFill="1" applyBorder="1"/>
    <xf numFmtId="0" fontId="45" fillId="26" borderId="0" xfId="11" applyFont="1" applyFill="1"/>
    <xf numFmtId="0" fontId="64" fillId="23" borderId="77" xfId="11" applyFont="1" applyFill="1" applyBorder="1"/>
    <xf numFmtId="0" fontId="45" fillId="0" borderId="0" xfId="11" applyFont="1"/>
    <xf numFmtId="0" fontId="52" fillId="23" borderId="78" xfId="11" applyFont="1" applyFill="1" applyBorder="1"/>
    <xf numFmtId="0" fontId="52" fillId="23" borderId="0" xfId="11" applyFont="1" applyFill="1"/>
    <xf numFmtId="183" fontId="3" fillId="23" borderId="77" xfId="9" applyNumberFormat="1" applyFont="1" applyFill="1" applyBorder="1"/>
    <xf numFmtId="183" fontId="3" fillId="23" borderId="0" xfId="9" applyNumberFormat="1" applyFont="1" applyFill="1" applyBorder="1"/>
    <xf numFmtId="183" fontId="3" fillId="23" borderId="78" xfId="10" applyNumberFormat="1" applyFont="1" applyFill="1" applyBorder="1"/>
    <xf numFmtId="183" fontId="53" fillId="23" borderId="0" xfId="11" applyNumberFormat="1" applyFont="1" applyFill="1"/>
    <xf numFmtId="183" fontId="54" fillId="23" borderId="0" xfId="10" applyNumberFormat="1" applyFont="1" applyFill="1" applyBorder="1"/>
    <xf numFmtId="183" fontId="55" fillId="23" borderId="0" xfId="1" applyNumberFormat="1" applyFont="1" applyFill="1" applyBorder="1" applyAlignment="1"/>
    <xf numFmtId="183" fontId="3" fillId="23" borderId="0" xfId="10" applyNumberFormat="1" applyFont="1" applyFill="1" applyBorder="1" applyAlignment="1"/>
    <xf numFmtId="0" fontId="45" fillId="23" borderId="78" xfId="11" applyFont="1" applyFill="1" applyBorder="1" applyAlignment="1">
      <alignment horizontal="left"/>
    </xf>
    <xf numFmtId="0" fontId="52" fillId="23" borderId="0" xfId="11" applyFont="1" applyFill="1" applyAlignment="1">
      <alignment horizontal="left" indent="1"/>
    </xf>
    <xf numFmtId="183" fontId="0" fillId="23" borderId="77" xfId="9" applyNumberFormat="1" applyFont="1" applyFill="1" applyBorder="1"/>
    <xf numFmtId="183" fontId="0" fillId="23" borderId="0" xfId="9" applyNumberFormat="1" applyFont="1" applyFill="1" applyBorder="1"/>
    <xf numFmtId="183" fontId="0" fillId="23" borderId="78" xfId="10" applyNumberFormat="1" applyFont="1" applyFill="1" applyBorder="1"/>
    <xf numFmtId="183" fontId="52" fillId="23" borderId="0" xfId="11" applyNumberFormat="1" applyFont="1" applyFill="1" applyAlignment="1">
      <alignment horizontal="left" indent="1"/>
    </xf>
    <xf numFmtId="183" fontId="56" fillId="23" borderId="0" xfId="10" applyNumberFormat="1" applyFont="1" applyFill="1" applyBorder="1"/>
    <xf numFmtId="183" fontId="57" fillId="23" borderId="0" xfId="1" applyNumberFormat="1" applyFont="1" applyFill="1" applyBorder="1" applyAlignment="1"/>
    <xf numFmtId="183" fontId="0" fillId="23" borderId="0" xfId="10" applyNumberFormat="1" applyFont="1" applyFill="1" applyBorder="1" applyAlignment="1"/>
    <xf numFmtId="183" fontId="52" fillId="23" borderId="0" xfId="11" applyNumberFormat="1" applyFont="1" applyFill="1"/>
    <xf numFmtId="183" fontId="0" fillId="0" borderId="78" xfId="10" applyNumberFormat="1" applyFont="1" applyFill="1" applyBorder="1"/>
    <xf numFmtId="182" fontId="0" fillId="23" borderId="77" xfId="9" applyNumberFormat="1" applyFont="1" applyFill="1" applyBorder="1"/>
    <xf numFmtId="182" fontId="0" fillId="23" borderId="78" xfId="10" applyNumberFormat="1" applyFont="1" applyFill="1" applyBorder="1"/>
    <xf numFmtId="182" fontId="0" fillId="23" borderId="0" xfId="10" applyNumberFormat="1" applyFont="1" applyFill="1" applyBorder="1" applyAlignment="1"/>
    <xf numFmtId="183" fontId="3" fillId="23" borderId="79" xfId="9" applyNumberFormat="1" applyFont="1" applyFill="1" applyBorder="1"/>
    <xf numFmtId="183" fontId="3" fillId="23" borderId="80" xfId="9" applyNumberFormat="1" applyFont="1" applyFill="1" applyBorder="1"/>
    <xf numFmtId="183" fontId="3" fillId="23" borderId="81" xfId="10" applyNumberFormat="1" applyFont="1" applyFill="1" applyBorder="1"/>
    <xf numFmtId="182" fontId="0" fillId="23" borderId="78" xfId="9" applyNumberFormat="1" applyFont="1" applyFill="1" applyBorder="1"/>
    <xf numFmtId="0" fontId="65" fillId="23" borderId="77" xfId="11" applyFont="1" applyFill="1" applyBorder="1"/>
    <xf numFmtId="0" fontId="53" fillId="23" borderId="78" xfId="11" applyFont="1" applyFill="1" applyBorder="1"/>
    <xf numFmtId="0" fontId="53" fillId="23" borderId="0" xfId="11" applyFont="1" applyFill="1"/>
    <xf numFmtId="183" fontId="51" fillId="0" borderId="77" xfId="9" applyNumberFormat="1" applyFont="1" applyFill="1" applyBorder="1"/>
    <xf numFmtId="183" fontId="51" fillId="0" borderId="0" xfId="9" applyNumberFormat="1" applyFont="1" applyFill="1" applyBorder="1"/>
    <xf numFmtId="184" fontId="53" fillId="23" borderId="0" xfId="11" applyNumberFormat="1" applyFont="1" applyFill="1"/>
    <xf numFmtId="184" fontId="51" fillId="23" borderId="77" xfId="9" applyNumberFormat="1" applyFont="1" applyFill="1" applyBorder="1"/>
    <xf numFmtId="184" fontId="51" fillId="23" borderId="0" xfId="9" applyNumberFormat="1" applyFont="1" applyFill="1" applyBorder="1"/>
    <xf numFmtId="182" fontId="51" fillId="23" borderId="0" xfId="9" applyNumberFormat="1" applyFont="1" applyFill="1" applyBorder="1" applyAlignment="1"/>
    <xf numFmtId="183" fontId="51" fillId="23" borderId="77" xfId="9" applyNumberFormat="1" applyFont="1" applyFill="1" applyBorder="1"/>
    <xf numFmtId="183" fontId="51" fillId="23" borderId="0" xfId="9" applyNumberFormat="1" applyFont="1" applyFill="1" applyBorder="1"/>
    <xf numFmtId="183" fontId="51" fillId="23" borderId="78" xfId="9" applyNumberFormat="1" applyFont="1" applyFill="1" applyBorder="1"/>
    <xf numFmtId="183" fontId="0" fillId="0" borderId="77" xfId="9" applyNumberFormat="1" applyFont="1" applyFill="1" applyBorder="1"/>
    <xf numFmtId="184" fontId="52" fillId="23" borderId="0" xfId="11" applyNumberFormat="1" applyFont="1" applyFill="1" applyAlignment="1">
      <alignment horizontal="left" indent="1"/>
    </xf>
    <xf numFmtId="184" fontId="0" fillId="23" borderId="77" xfId="9" applyNumberFormat="1" applyFont="1" applyFill="1" applyBorder="1"/>
    <xf numFmtId="184" fontId="0" fillId="23" borderId="0" xfId="9" applyNumberFormat="1" applyFont="1" applyFill="1" applyBorder="1"/>
    <xf numFmtId="183" fontId="0" fillId="23" borderId="78" xfId="9" applyNumberFormat="1" applyFont="1" applyFill="1" applyBorder="1"/>
    <xf numFmtId="0" fontId="51" fillId="23" borderId="78" xfId="11" applyFont="1" applyFill="1" applyBorder="1"/>
    <xf numFmtId="0" fontId="45" fillId="23" borderId="78" xfId="11" applyFont="1" applyFill="1" applyBorder="1" applyAlignment="1">
      <alignment horizontal="left" indent="1"/>
    </xf>
    <xf numFmtId="183" fontId="45" fillId="0" borderId="77" xfId="9" applyNumberFormat="1" applyFont="1" applyFill="1" applyBorder="1"/>
    <xf numFmtId="183" fontId="45" fillId="0" borderId="0" xfId="9" applyNumberFormat="1" applyFont="1" applyFill="1" applyBorder="1"/>
    <xf numFmtId="184" fontId="45" fillId="23" borderId="77" xfId="9" applyNumberFormat="1" applyFont="1" applyFill="1" applyBorder="1"/>
    <xf numFmtId="184" fontId="45" fillId="23" borderId="0" xfId="9" applyNumberFormat="1" applyFont="1" applyFill="1" applyBorder="1"/>
    <xf numFmtId="183" fontId="45" fillId="23" borderId="77" xfId="9" applyNumberFormat="1" applyFont="1" applyFill="1" applyBorder="1"/>
    <xf numFmtId="183" fontId="45" fillId="23" borderId="78" xfId="9" applyNumberFormat="1" applyFont="1" applyFill="1" applyBorder="1"/>
    <xf numFmtId="0" fontId="45" fillId="23" borderId="78" xfId="11" applyFont="1" applyFill="1" applyBorder="1" applyAlignment="1">
      <alignment horizontal="left" vertical="distributed" wrapText="1"/>
    </xf>
    <xf numFmtId="0" fontId="52" fillId="23" borderId="0" xfId="11" applyFont="1" applyFill="1" applyAlignment="1">
      <alignment horizontal="left" vertical="distributed" wrapText="1" indent="1"/>
    </xf>
    <xf numFmtId="184" fontId="52" fillId="23" borderId="0" xfId="11" applyNumberFormat="1" applyFont="1" applyFill="1" applyAlignment="1">
      <alignment horizontal="left" vertical="distributed" wrapText="1" indent="1"/>
    </xf>
    <xf numFmtId="183" fontId="0" fillId="0" borderId="78" xfId="9" applyNumberFormat="1" applyFont="1" applyFill="1" applyBorder="1"/>
    <xf numFmtId="183" fontId="3" fillId="0" borderId="77" xfId="9" applyNumberFormat="1" applyFont="1" applyFill="1" applyBorder="1"/>
    <xf numFmtId="184" fontId="3" fillId="23" borderId="77" xfId="9" applyNumberFormat="1" applyFont="1" applyFill="1" applyBorder="1"/>
    <xf numFmtId="184" fontId="3" fillId="23" borderId="0" xfId="9" applyNumberFormat="1" applyFont="1" applyFill="1" applyBorder="1"/>
    <xf numFmtId="183" fontId="3" fillId="23" borderId="78" xfId="9" applyNumberFormat="1" applyFont="1" applyFill="1" applyBorder="1"/>
    <xf numFmtId="183" fontId="45" fillId="0" borderId="78" xfId="9" applyNumberFormat="1" applyFont="1" applyFill="1" applyBorder="1"/>
    <xf numFmtId="184" fontId="52" fillId="23" borderId="0" xfId="11" applyNumberFormat="1" applyFont="1" applyFill="1"/>
    <xf numFmtId="182" fontId="45" fillId="23" borderId="0" xfId="9" applyNumberFormat="1" applyFont="1" applyFill="1" applyBorder="1" applyAlignment="1"/>
    <xf numFmtId="0" fontId="0" fillId="0" borderId="78" xfId="0" applyBorder="1"/>
    <xf numFmtId="183" fontId="51" fillId="23" borderId="79" xfId="9" applyNumberFormat="1" applyFont="1" applyFill="1" applyBorder="1"/>
    <xf numFmtId="183" fontId="51" fillId="23" borderId="80" xfId="9" applyNumberFormat="1" applyFont="1" applyFill="1" applyBorder="1"/>
    <xf numFmtId="183" fontId="51" fillId="23" borderId="81" xfId="9" applyNumberFormat="1" applyFont="1" applyFill="1" applyBorder="1"/>
    <xf numFmtId="0" fontId="51" fillId="22" borderId="82" xfId="11" applyFont="1" applyFill="1" applyBorder="1"/>
    <xf numFmtId="0" fontId="0" fillId="22" borderId="83" xfId="0" applyFill="1" applyBorder="1"/>
    <xf numFmtId="0" fontId="0" fillId="22" borderId="84" xfId="0" applyFill="1" applyBorder="1"/>
    <xf numFmtId="183" fontId="3" fillId="22" borderId="82" xfId="9" applyNumberFormat="1" applyFont="1" applyFill="1" applyBorder="1"/>
    <xf numFmtId="183" fontId="3" fillId="22" borderId="83" xfId="9" applyNumberFormat="1" applyFont="1" applyFill="1" applyBorder="1"/>
    <xf numFmtId="183" fontId="3" fillId="22" borderId="84" xfId="10" applyNumberFormat="1" applyFont="1" applyFill="1" applyBorder="1"/>
    <xf numFmtId="183" fontId="3" fillId="22" borderId="84" xfId="9" applyNumberFormat="1" applyFont="1" applyFill="1" applyBorder="1"/>
    <xf numFmtId="182" fontId="63" fillId="23" borderId="0" xfId="11" applyNumberFormat="1" applyFont="1" applyFill="1"/>
    <xf numFmtId="0" fontId="45" fillId="0" borderId="41" xfId="5" applyFont="1" applyBorder="1"/>
    <xf numFmtId="0" fontId="45" fillId="23" borderId="41" xfId="5" applyFont="1" applyFill="1" applyBorder="1" applyAlignment="1">
      <alignment horizontal="left"/>
    </xf>
    <xf numFmtId="0" fontId="52" fillId="23" borderId="41" xfId="5" applyFont="1" applyFill="1" applyBorder="1" applyAlignment="1">
      <alignment horizontal="left" indent="1"/>
    </xf>
    <xf numFmtId="181" fontId="0" fillId="23" borderId="41" xfId="9" applyNumberFormat="1" applyFont="1" applyFill="1" applyBorder="1"/>
    <xf numFmtId="5" fontId="0" fillId="23" borderId="41" xfId="10" applyNumberFormat="1" applyFont="1" applyFill="1" applyBorder="1"/>
    <xf numFmtId="181" fontId="52" fillId="23" borderId="41" xfId="5" applyNumberFormat="1" applyFont="1" applyFill="1" applyBorder="1" applyAlignment="1">
      <alignment horizontal="left" indent="1"/>
    </xf>
    <xf numFmtId="181" fontId="56" fillId="23" borderId="41" xfId="10" applyNumberFormat="1" applyFont="1" applyFill="1" applyBorder="1"/>
    <xf numFmtId="181" fontId="57" fillId="23" borderId="41" xfId="1" applyNumberFormat="1" applyFont="1" applyFill="1" applyBorder="1" applyAlignment="1"/>
    <xf numFmtId="181" fontId="0" fillId="23" borderId="41" xfId="10" applyNumberFormat="1" applyFont="1" applyFill="1" applyBorder="1" applyAlignment="1"/>
    <xf numFmtId="0" fontId="45" fillId="0" borderId="42" xfId="5" applyFont="1" applyBorder="1"/>
    <xf numFmtId="0" fontId="45" fillId="23" borderId="42" xfId="5" applyFont="1" applyFill="1" applyBorder="1" applyAlignment="1">
      <alignment horizontal="left"/>
    </xf>
    <xf numFmtId="0" fontId="52" fillId="23" borderId="42" xfId="5" applyFont="1" applyFill="1" applyBorder="1" applyAlignment="1">
      <alignment horizontal="left" indent="1"/>
    </xf>
    <xf numFmtId="181" fontId="0" fillId="23" borderId="42" xfId="9" applyNumberFormat="1" applyFont="1" applyFill="1" applyBorder="1"/>
    <xf numFmtId="5" fontId="0" fillId="23" borderId="42" xfId="10" applyNumberFormat="1" applyFont="1" applyFill="1" applyBorder="1"/>
    <xf numFmtId="181" fontId="52" fillId="23" borderId="42" xfId="5" applyNumberFormat="1" applyFont="1" applyFill="1" applyBorder="1" applyAlignment="1">
      <alignment horizontal="left" indent="1"/>
    </xf>
    <xf numFmtId="181" fontId="56" fillId="23" borderId="42" xfId="10" applyNumberFormat="1" applyFont="1" applyFill="1" applyBorder="1"/>
    <xf numFmtId="181" fontId="57" fillId="23" borderId="42" xfId="1" applyNumberFormat="1" applyFont="1" applyFill="1" applyBorder="1" applyAlignment="1"/>
    <xf numFmtId="181" fontId="0" fillId="23" borderId="42" xfId="10" applyNumberFormat="1" applyFont="1" applyFill="1" applyBorder="1" applyAlignment="1"/>
    <xf numFmtId="0" fontId="45" fillId="23" borderId="42" xfId="5" applyFont="1" applyFill="1" applyBorder="1"/>
    <xf numFmtId="0" fontId="52" fillId="23" borderId="42" xfId="5" applyFont="1" applyFill="1" applyBorder="1"/>
    <xf numFmtId="181" fontId="52" fillId="23" borderId="42" xfId="5" applyNumberFormat="1" applyFont="1" applyFill="1" applyBorder="1"/>
    <xf numFmtId="5" fontId="0" fillId="0" borderId="42" xfId="10" applyNumberFormat="1" applyFont="1" applyFill="1" applyBorder="1"/>
    <xf numFmtId="0" fontId="45" fillId="7" borderId="42" xfId="5" applyFont="1" applyFill="1" applyBorder="1"/>
    <xf numFmtId="0" fontId="0" fillId="7" borderId="42" xfId="0" applyFill="1" applyBorder="1"/>
    <xf numFmtId="181" fontId="51" fillId="7" borderId="42" xfId="9" applyNumberFormat="1" applyFont="1" applyFill="1" applyBorder="1"/>
    <xf numFmtId="5" fontId="3" fillId="7" borderId="42" xfId="10" applyNumberFormat="1" applyFont="1" applyFill="1" applyBorder="1"/>
    <xf numFmtId="181" fontId="0" fillId="7" borderId="42" xfId="0" applyNumberFormat="1" applyFill="1" applyBorder="1"/>
    <xf numFmtId="181" fontId="55" fillId="7" borderId="42" xfId="1" applyNumberFormat="1" applyFont="1" applyFill="1" applyBorder="1" applyAlignment="1"/>
    <xf numFmtId="181" fontId="51" fillId="7" borderId="42" xfId="9" applyNumberFormat="1" applyFont="1" applyFill="1" applyBorder="1" applyAlignment="1"/>
    <xf numFmtId="5" fontId="51" fillId="7" borderId="42" xfId="9" applyNumberFormat="1" applyFont="1" applyFill="1" applyBorder="1"/>
    <xf numFmtId="181" fontId="0" fillId="0" borderId="42" xfId="9" applyNumberFormat="1" applyFont="1" applyFill="1" applyBorder="1"/>
    <xf numFmtId="181" fontId="0" fillId="23" borderId="42" xfId="9" applyNumberFormat="1" applyFont="1" applyFill="1" applyBorder="1" applyAlignment="1"/>
    <xf numFmtId="5" fontId="0" fillId="23" borderId="42" xfId="9" applyNumberFormat="1" applyFont="1" applyFill="1" applyBorder="1"/>
    <xf numFmtId="0" fontId="45" fillId="23" borderId="42" xfId="5" applyFont="1" applyFill="1" applyBorder="1" applyAlignment="1">
      <alignment horizontal="left" vertical="distributed" wrapText="1"/>
    </xf>
    <xf numFmtId="0" fontId="52" fillId="23" borderId="42" xfId="5" applyFont="1" applyFill="1" applyBorder="1" applyAlignment="1">
      <alignment horizontal="left" vertical="distributed" wrapText="1" indent="1"/>
    </xf>
    <xf numFmtId="181" fontId="52" fillId="23" borderId="42" xfId="5" applyNumberFormat="1" applyFont="1" applyFill="1" applyBorder="1" applyAlignment="1">
      <alignment horizontal="left" vertical="distributed" wrapText="1" indent="1"/>
    </xf>
    <xf numFmtId="5" fontId="0" fillId="0" borderId="42" xfId="9" applyNumberFormat="1" applyFont="1" applyFill="1" applyBorder="1"/>
    <xf numFmtId="181" fontId="45" fillId="0" borderId="42" xfId="9" applyNumberFormat="1" applyFont="1" applyFill="1" applyBorder="1"/>
    <xf numFmtId="181" fontId="45" fillId="23" borderId="42" xfId="9" applyNumberFormat="1" applyFont="1" applyFill="1" applyBorder="1"/>
    <xf numFmtId="181" fontId="54" fillId="23" borderId="42" xfId="10" applyNumberFormat="1" applyFont="1" applyFill="1" applyBorder="1"/>
    <xf numFmtId="181" fontId="55" fillId="23" borderId="42" xfId="1" applyNumberFormat="1" applyFont="1" applyFill="1" applyBorder="1" applyAlignment="1"/>
    <xf numFmtId="181" fontId="51" fillId="23" borderId="42" xfId="9" applyNumberFormat="1" applyFont="1" applyFill="1" applyBorder="1" applyAlignment="1"/>
    <xf numFmtId="5" fontId="45" fillId="23" borderId="42" xfId="9" applyNumberFormat="1" applyFont="1" applyFill="1" applyBorder="1"/>
    <xf numFmtId="5" fontId="45" fillId="0" borderId="42" xfId="9" applyNumberFormat="1" applyFont="1" applyFill="1" applyBorder="1"/>
    <xf numFmtId="0" fontId="45" fillId="23" borderId="43" xfId="5" applyFont="1" applyFill="1" applyBorder="1"/>
    <xf numFmtId="0" fontId="45" fillId="23" borderId="43" xfId="5" applyFont="1" applyFill="1" applyBorder="1" applyAlignment="1">
      <alignment horizontal="left"/>
    </xf>
    <xf numFmtId="0" fontId="52" fillId="23" borderId="43" xfId="5" applyFont="1" applyFill="1" applyBorder="1" applyAlignment="1">
      <alignment horizontal="left" indent="1"/>
    </xf>
    <xf numFmtId="181" fontId="45" fillId="0" borderId="43" xfId="9" applyNumberFormat="1" applyFont="1" applyFill="1" applyBorder="1"/>
    <xf numFmtId="5" fontId="0" fillId="23" borderId="43" xfId="10" applyNumberFormat="1" applyFont="1" applyFill="1" applyBorder="1"/>
    <xf numFmtId="181" fontId="52" fillId="23" borderId="43" xfId="5" applyNumberFormat="1" applyFont="1" applyFill="1" applyBorder="1" applyAlignment="1">
      <alignment horizontal="left" indent="1"/>
    </xf>
    <xf numFmtId="181" fontId="45" fillId="23" borderId="43" xfId="9" applyNumberFormat="1" applyFont="1" applyFill="1" applyBorder="1"/>
    <xf numFmtId="181" fontId="56" fillId="23" borderId="43" xfId="10" applyNumberFormat="1" applyFont="1" applyFill="1" applyBorder="1"/>
    <xf numFmtId="181" fontId="57" fillId="23" borderId="43" xfId="1" applyNumberFormat="1" applyFont="1" applyFill="1" applyBorder="1" applyAlignment="1"/>
    <xf numFmtId="181" fontId="45" fillId="23" borderId="43" xfId="9" applyNumberFormat="1" applyFont="1" applyFill="1" applyBorder="1" applyAlignment="1"/>
    <xf numFmtId="181" fontId="0" fillId="23" borderId="43" xfId="9" applyNumberFormat="1" applyFont="1" applyFill="1" applyBorder="1"/>
    <xf numFmtId="5" fontId="45" fillId="23" borderId="43" xfId="9" applyNumberFormat="1" applyFont="1" applyFill="1" applyBorder="1"/>
    <xf numFmtId="173" fontId="0" fillId="8" borderId="48" xfId="0" applyNumberFormat="1" applyFill="1" applyBorder="1"/>
    <xf numFmtId="3" fontId="27" fillId="0" borderId="0" xfId="0" applyNumberFormat="1" applyFont="1"/>
    <xf numFmtId="181" fontId="27" fillId="0" borderId="0" xfId="0" applyNumberFormat="1" applyFont="1"/>
    <xf numFmtId="181" fontId="27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0" fillId="11" borderId="7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169" fontId="3" fillId="0" borderId="24" xfId="1" applyNumberFormat="1" applyFont="1" applyBorder="1" applyAlignment="1">
      <alignment horizontal="center"/>
    </xf>
    <xf numFmtId="169" fontId="3" fillId="0" borderId="25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4" fontId="18" fillId="9" borderId="40" xfId="0" applyNumberFormat="1" applyFont="1" applyFill="1" applyBorder="1" applyAlignment="1">
      <alignment horizontal="center"/>
    </xf>
    <xf numFmtId="4" fontId="18" fillId="9" borderId="49" xfId="0" applyNumberFormat="1" applyFont="1" applyFill="1" applyBorder="1" applyAlignment="1">
      <alignment horizontal="center"/>
    </xf>
    <xf numFmtId="4" fontId="18" fillId="9" borderId="50" xfId="0" applyNumberFormat="1" applyFont="1" applyFill="1" applyBorder="1" applyAlignment="1">
      <alignment horizontal="center"/>
    </xf>
    <xf numFmtId="4" fontId="18" fillId="9" borderId="51" xfId="0" applyNumberFormat="1" applyFont="1" applyFill="1" applyBorder="1" applyAlignment="1">
      <alignment horizontal="center"/>
    </xf>
    <xf numFmtId="4" fontId="18" fillId="0" borderId="52" xfId="0" applyNumberFormat="1" applyFont="1" applyBorder="1" applyAlignment="1">
      <alignment horizontal="center"/>
    </xf>
    <xf numFmtId="4" fontId="18" fillId="0" borderId="53" xfId="0" applyNumberFormat="1" applyFont="1" applyBorder="1" applyAlignment="1">
      <alignment horizontal="center"/>
    </xf>
    <xf numFmtId="4" fontId="18" fillId="0" borderId="54" xfId="0" applyNumberFormat="1" applyFont="1" applyBorder="1" applyAlignment="1">
      <alignment horizontal="center"/>
    </xf>
    <xf numFmtId="0" fontId="40" fillId="17" borderId="66" xfId="0" applyFont="1" applyFill="1" applyBorder="1" applyAlignment="1">
      <alignment vertical="top"/>
    </xf>
    <xf numFmtId="0" fontId="0" fillId="17" borderId="69" xfId="0" applyFill="1" applyBorder="1"/>
    <xf numFmtId="0" fontId="0" fillId="17" borderId="67" xfId="0" applyFill="1" applyBorder="1"/>
    <xf numFmtId="0" fontId="41" fillId="0" borderId="71" xfId="0" applyFont="1" applyBorder="1" applyAlignment="1">
      <alignment horizontal="left" vertical="top"/>
    </xf>
    <xf numFmtId="0" fontId="41" fillId="0" borderId="63" xfId="0" applyFont="1" applyBorder="1" applyAlignment="1">
      <alignment horizontal="left" vertical="top"/>
    </xf>
    <xf numFmtId="0" fontId="41" fillId="0" borderId="71" xfId="0" applyFont="1" applyBorder="1" applyAlignment="1">
      <alignment horizontal="left" vertical="top" wrapText="1"/>
    </xf>
    <xf numFmtId="0" fontId="41" fillId="0" borderId="62" xfId="0" applyFont="1" applyBorder="1" applyAlignment="1">
      <alignment horizontal="left" vertical="top" wrapText="1"/>
    </xf>
    <xf numFmtId="0" fontId="41" fillId="0" borderId="63" xfId="0" applyFont="1" applyBorder="1" applyAlignment="1">
      <alignment horizontal="left" vertical="top" wrapText="1"/>
    </xf>
    <xf numFmtId="0" fontId="41" fillId="0" borderId="59" xfId="0" applyFont="1" applyBorder="1" applyAlignment="1">
      <alignment vertical="top" wrapText="1"/>
    </xf>
    <xf numFmtId="0" fontId="0" fillId="0" borderId="62" xfId="0" applyBorder="1" applyAlignment="1">
      <alignment wrapText="1"/>
    </xf>
    <xf numFmtId="0" fontId="0" fillId="0" borderId="63" xfId="0" applyBorder="1" applyAlignment="1">
      <alignment wrapText="1"/>
    </xf>
    <xf numFmtId="0" fontId="41" fillId="0" borderId="59" xfId="0" applyFont="1" applyBorder="1" applyAlignment="1">
      <alignment vertical="top"/>
    </xf>
    <xf numFmtId="0" fontId="0" fillId="0" borderId="62" xfId="0" applyBorder="1"/>
    <xf numFmtId="0" fontId="0" fillId="0" borderId="63" xfId="0" applyBorder="1"/>
    <xf numFmtId="0" fontId="40" fillId="18" borderId="66" xfId="0" applyFont="1" applyFill="1" applyBorder="1" applyAlignment="1">
      <alignment vertical="top"/>
    </xf>
    <xf numFmtId="0" fontId="0" fillId="18" borderId="67" xfId="0" applyFill="1" applyBorder="1"/>
    <xf numFmtId="180" fontId="48" fillId="23" borderId="73" xfId="9" applyNumberFormat="1" applyFont="1" applyFill="1" applyBorder="1" applyAlignment="1">
      <alignment horizontal="center"/>
    </xf>
    <xf numFmtId="180" fontId="50" fillId="23" borderId="73" xfId="9" applyNumberFormat="1" applyFont="1" applyFill="1" applyBorder="1" applyAlignment="1">
      <alignment horizontal="center"/>
    </xf>
    <xf numFmtId="180" fontId="51" fillId="23" borderId="74" xfId="9" applyNumberFormat="1" applyFont="1" applyFill="1" applyBorder="1" applyAlignment="1">
      <alignment horizontal="center"/>
    </xf>
    <xf numFmtId="180" fontId="51" fillId="23" borderId="75" xfId="9" applyNumberFormat="1" applyFont="1" applyFill="1" applyBorder="1" applyAlignment="1">
      <alignment horizontal="center"/>
    </xf>
    <xf numFmtId="180" fontId="51" fillId="23" borderId="76" xfId="9" applyNumberFormat="1" applyFont="1" applyFill="1" applyBorder="1" applyAlignment="1">
      <alignment horizontal="center"/>
    </xf>
    <xf numFmtId="4" fontId="20" fillId="0" borderId="0" xfId="0" applyNumberFormat="1" applyFont="1" applyAlignment="1">
      <alignment horizontal="center"/>
    </xf>
    <xf numFmtId="0" fontId="14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3">
    <cellStyle name="Comma" xfId="1" builtinId="3"/>
    <cellStyle name="Comma 2" xfId="9" xr:uid="{9A88EF4A-F009-E54F-BD72-3A89A48D0908}"/>
    <cellStyle name="Comma 2 2" xfId="10" xr:uid="{A84A0AAE-1222-DD40-B7D8-E629F7CD8D4D}"/>
    <cellStyle name="Comma 2 3" xfId="2" xr:uid="{00000000-0005-0000-0000-000001000000}"/>
    <cellStyle name="Comma 3" xfId="12" xr:uid="{9BD87011-DE29-2B49-90A0-9359C4745299}"/>
    <cellStyle name="Currency" xfId="3" builtinId="4"/>
    <cellStyle name="Normal" xfId="0" builtinId="0"/>
    <cellStyle name="Normal 10" xfId="4" xr:uid="{00000000-0005-0000-0000-000004000000}"/>
    <cellStyle name="Normal 2" xfId="5" xr:uid="{00000000-0005-0000-0000-000005000000}"/>
    <cellStyle name="Normal 2 2" xfId="11" xr:uid="{1A2666E8-0DC0-4544-AF36-38F8EE8A04D6}"/>
    <cellStyle name="Normal_Project Reports - Jan 11" xfId="6" xr:uid="{00000000-0005-0000-0000-000006000000}"/>
    <cellStyle name="Per cent" xfId="7" builtinId="5"/>
    <cellStyle name="Percent 2" xfId="8" xr:uid="{00000000-0005-0000-0000-000008000000}"/>
  </cellStyles>
  <dxfs count="17">
    <dxf>
      <font>
        <color indexed="14"/>
      </font>
      <fill>
        <patternFill>
          <bgColor indexed="45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'assumptions updated'!$K$3:$V$3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'assumptions updated'!$K$54:$V$54</c:f>
              <c:numCache>
                <c:formatCode>"$"#,##0;[Red]\-"$"#,##0</c:formatCode>
                <c:ptCount val="12"/>
                <c:pt idx="0">
                  <c:v>133027.13470319632</c:v>
                </c:pt>
                <c:pt idx="1">
                  <c:v>166610.4680365297</c:v>
                </c:pt>
                <c:pt idx="2">
                  <c:v>188439.18949771687</c:v>
                </c:pt>
                <c:pt idx="3">
                  <c:v>150360.4680365297</c:v>
                </c:pt>
                <c:pt idx="4">
                  <c:v>147589.1894977169</c:v>
                </c:pt>
                <c:pt idx="5">
                  <c:v>195460.4680365297</c:v>
                </c:pt>
                <c:pt idx="6">
                  <c:v>173027.13470319635</c:v>
                </c:pt>
                <c:pt idx="7">
                  <c:v>161546.63242009134</c:v>
                </c:pt>
                <c:pt idx="8">
                  <c:v>190127.13470319632</c:v>
                </c:pt>
                <c:pt idx="9">
                  <c:v>148672.52283105024</c:v>
                </c:pt>
                <c:pt idx="10">
                  <c:v>149277.13470319635</c:v>
                </c:pt>
                <c:pt idx="11">
                  <c:v>193772.52283105024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2-F44C-811B-ADC902D9865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'assumptions updated'!$K$3:$V$3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'assumptions updated'!$K$58:$V$58</c:f>
              <c:numCache>
                <c:formatCode>"$"#,##0_);[Red]\("$"#,##0\)</c:formatCode>
                <c:ptCount val="12"/>
                <c:pt idx="0">
                  <c:v>166492.5</c:v>
                </c:pt>
                <c:pt idx="1">
                  <c:v>166492.5</c:v>
                </c:pt>
                <c:pt idx="2">
                  <c:v>166492.5</c:v>
                </c:pt>
                <c:pt idx="3">
                  <c:v>166492.5</c:v>
                </c:pt>
                <c:pt idx="4">
                  <c:v>166492.5</c:v>
                </c:pt>
                <c:pt idx="5">
                  <c:v>166492.5</c:v>
                </c:pt>
                <c:pt idx="6">
                  <c:v>166492.5</c:v>
                </c:pt>
                <c:pt idx="7">
                  <c:v>166492.5</c:v>
                </c:pt>
                <c:pt idx="8">
                  <c:v>166492.5</c:v>
                </c:pt>
                <c:pt idx="9">
                  <c:v>166492.5</c:v>
                </c:pt>
                <c:pt idx="10">
                  <c:v>166492.5</c:v>
                </c:pt>
                <c:pt idx="11">
                  <c:v>166492.5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2-F44C-811B-ADC902D9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3585648"/>
        <c:axId val="85517199"/>
      </c:lineChart>
      <c:catAx>
        <c:axId val="144358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17199"/>
        <c:crosses val="autoZero"/>
        <c:auto val="1"/>
        <c:lblAlgn val="ctr"/>
        <c:lblOffset val="100"/>
        <c:noMultiLvlLbl val="0"/>
      </c:catAx>
      <c:valAx>
        <c:axId val="85517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358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635000</xdr:colOff>
      <xdr:row>17</xdr:row>
      <xdr:rowOff>0</xdr:rowOff>
    </xdr:from>
    <xdr:to>
      <xdr:col>33</xdr:col>
      <xdr:colOff>203200</xdr:colOff>
      <xdr:row>33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4BB5A2-D68A-FD1A-1AE3-FC98182FA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1</xdr:row>
      <xdr:rowOff>0</xdr:rowOff>
    </xdr:from>
    <xdr:to>
      <xdr:col>3</xdr:col>
      <xdr:colOff>12700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AA47D-56B2-844E-939A-FB957888D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65100"/>
          <a:ext cx="67310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#6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42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#15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51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#16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52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#17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53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#18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54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#19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55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#20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P68"/>
  <sheetViews>
    <sheetView showGridLines="0" topLeftCell="A4" zoomScale="140" zoomScaleNormal="140" workbookViewId="0">
      <selection activeCell="E16" sqref="E16"/>
    </sheetView>
  </sheetViews>
  <sheetFormatPr baseColWidth="10" defaultRowHeight="13"/>
  <cols>
    <col min="1" max="1" width="3.1640625" customWidth="1"/>
    <col min="2" max="2" width="17.1640625" customWidth="1"/>
    <col min="3" max="3" width="6.5" customWidth="1"/>
    <col min="4" max="4" width="6.1640625" bestFit="1" customWidth="1"/>
    <col min="7" max="8" width="9.1640625" customWidth="1"/>
    <col min="9" max="9" width="8.6640625" customWidth="1"/>
    <col min="10" max="10" width="7" bestFit="1" customWidth="1"/>
    <col min="12" max="12" width="9.5" customWidth="1"/>
    <col min="13" max="13" width="9.5" bestFit="1" customWidth="1"/>
    <col min="14" max="14" width="7.33203125" customWidth="1"/>
    <col min="15" max="15" width="13.1640625" customWidth="1"/>
  </cols>
  <sheetData>
    <row r="3" spans="1:16">
      <c r="G3" s="685" t="s">
        <v>391</v>
      </c>
      <c r="H3" s="685"/>
      <c r="I3" s="685"/>
      <c r="J3" s="685"/>
      <c r="L3" s="686" t="s">
        <v>392</v>
      </c>
      <c r="M3" s="686"/>
      <c r="N3" s="686"/>
      <c r="O3" s="686"/>
    </row>
    <row r="4" spans="1:16" ht="42">
      <c r="A4" s="272" t="s">
        <v>393</v>
      </c>
      <c r="C4" s="273" t="s">
        <v>394</v>
      </c>
      <c r="D4" s="274" t="s">
        <v>385</v>
      </c>
      <c r="E4" s="274" t="s">
        <v>395</v>
      </c>
      <c r="F4" s="274" t="s">
        <v>396</v>
      </c>
      <c r="G4" s="275" t="s">
        <v>397</v>
      </c>
      <c r="H4" s="275" t="s">
        <v>398</v>
      </c>
      <c r="I4" s="275" t="s">
        <v>399</v>
      </c>
      <c r="J4" s="275" t="s">
        <v>400</v>
      </c>
      <c r="K4" s="276" t="s">
        <v>401</v>
      </c>
      <c r="L4" s="277" t="s">
        <v>402</v>
      </c>
      <c r="M4" s="277" t="s">
        <v>403</v>
      </c>
      <c r="N4" s="277" t="s">
        <v>404</v>
      </c>
      <c r="O4" s="277" t="s">
        <v>405</v>
      </c>
      <c r="P4" s="276" t="s">
        <v>406</v>
      </c>
    </row>
    <row r="5" spans="1:16">
      <c r="A5" s="272"/>
      <c r="C5" s="273"/>
      <c r="D5" s="278"/>
      <c r="G5" s="279">
        <v>0</v>
      </c>
      <c r="H5" s="279">
        <v>0</v>
      </c>
      <c r="I5" s="279">
        <v>0</v>
      </c>
      <c r="J5" s="280">
        <v>0</v>
      </c>
      <c r="K5" s="276"/>
      <c r="L5" s="279">
        <v>3.5000000000000003E-2</v>
      </c>
      <c r="M5" s="279">
        <v>5.7500000000000002E-2</v>
      </c>
      <c r="N5" s="279">
        <v>0.12</v>
      </c>
      <c r="O5" s="280">
        <v>7.4999999999999997E-3</v>
      </c>
    </row>
    <row r="6" spans="1:16">
      <c r="A6" t="s">
        <v>407</v>
      </c>
      <c r="D6" s="278"/>
    </row>
    <row r="7" spans="1:16">
      <c r="B7" t="s">
        <v>408</v>
      </c>
      <c r="C7" s="142">
        <v>1</v>
      </c>
      <c r="D7" s="278" t="s">
        <v>507</v>
      </c>
      <c r="E7" s="13">
        <v>105000</v>
      </c>
      <c r="F7" s="13">
        <f>C7*E7</f>
        <v>105000</v>
      </c>
      <c r="G7" s="13">
        <f t="shared" ref="G7:J13" si="0">$F7*G$5</f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  <c r="K7" s="13">
        <f>SUM(F7:J7)</f>
        <v>105000</v>
      </c>
      <c r="L7" s="13">
        <f>$K7*L$5</f>
        <v>3675.0000000000005</v>
      </c>
      <c r="M7" s="13">
        <f t="shared" ref="M7:O15" si="1">$K7*M$5</f>
        <v>6037.5</v>
      </c>
      <c r="N7" s="13">
        <f t="shared" si="1"/>
        <v>12600</v>
      </c>
      <c r="O7" s="13">
        <f t="shared" si="1"/>
        <v>787.5</v>
      </c>
      <c r="P7" s="13">
        <f>SUM(K7:O7)</f>
        <v>128100</v>
      </c>
    </row>
    <row r="8" spans="1:16">
      <c r="B8" t="s">
        <v>409</v>
      </c>
      <c r="C8" s="142">
        <v>1</v>
      </c>
      <c r="D8" s="278" t="s">
        <v>508</v>
      </c>
      <c r="E8" s="13">
        <v>80000</v>
      </c>
      <c r="F8" s="13">
        <f t="shared" ref="F8:F15" si="2">C8*E8</f>
        <v>80000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ref="K8:K13" si="3">SUM(F8:J8)</f>
        <v>80000</v>
      </c>
      <c r="L8" s="13">
        <f t="shared" ref="L8:L15" si="4">$K8*L$5</f>
        <v>2800.0000000000005</v>
      </c>
      <c r="M8" s="13">
        <f t="shared" si="1"/>
        <v>4600</v>
      </c>
      <c r="N8" s="13">
        <f t="shared" si="1"/>
        <v>9600</v>
      </c>
      <c r="O8" s="13">
        <f t="shared" si="1"/>
        <v>600</v>
      </c>
      <c r="P8" s="13">
        <f t="shared" ref="P8:P15" si="5">SUM(K8:O8)</f>
        <v>97600</v>
      </c>
    </row>
    <row r="9" spans="1:16">
      <c r="B9" t="s">
        <v>409</v>
      </c>
      <c r="C9" s="142">
        <v>1</v>
      </c>
      <c r="D9" s="278" t="s">
        <v>508</v>
      </c>
      <c r="E9" s="13">
        <v>80000</v>
      </c>
      <c r="F9" s="13">
        <f t="shared" si="2"/>
        <v>80000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3"/>
        <v>80000</v>
      </c>
      <c r="L9" s="13">
        <f t="shared" si="4"/>
        <v>2800.0000000000005</v>
      </c>
      <c r="M9" s="13">
        <f t="shared" si="1"/>
        <v>4600</v>
      </c>
      <c r="N9" s="13">
        <f t="shared" si="1"/>
        <v>9600</v>
      </c>
      <c r="O9" s="13">
        <f t="shared" si="1"/>
        <v>600</v>
      </c>
      <c r="P9" s="13">
        <f t="shared" si="5"/>
        <v>97600</v>
      </c>
    </row>
    <row r="10" spans="1:16">
      <c r="B10" t="s">
        <v>409</v>
      </c>
      <c r="C10" s="142">
        <v>1</v>
      </c>
      <c r="D10" s="278" t="s">
        <v>508</v>
      </c>
      <c r="E10" s="13">
        <v>80000</v>
      </c>
      <c r="F10" s="13">
        <f t="shared" si="2"/>
        <v>80000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3"/>
        <v>80000</v>
      </c>
      <c r="L10" s="13">
        <f t="shared" si="4"/>
        <v>2800.0000000000005</v>
      </c>
      <c r="M10" s="13">
        <f t="shared" si="1"/>
        <v>4600</v>
      </c>
      <c r="N10" s="13">
        <f t="shared" si="1"/>
        <v>9600</v>
      </c>
      <c r="O10" s="13">
        <f t="shared" si="1"/>
        <v>600</v>
      </c>
      <c r="P10" s="13">
        <f t="shared" si="5"/>
        <v>97600</v>
      </c>
    </row>
    <row r="11" spans="1:16">
      <c r="B11" t="s">
        <v>409</v>
      </c>
      <c r="C11" s="142">
        <v>1</v>
      </c>
      <c r="D11" s="278" t="s">
        <v>508</v>
      </c>
      <c r="E11" s="13">
        <v>80000</v>
      </c>
      <c r="F11" s="13">
        <f t="shared" si="2"/>
        <v>80000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3"/>
        <v>80000</v>
      </c>
      <c r="L11" s="13">
        <f t="shared" si="4"/>
        <v>2800.0000000000005</v>
      </c>
      <c r="M11" s="13">
        <f t="shared" si="1"/>
        <v>4600</v>
      </c>
      <c r="N11" s="13">
        <f t="shared" si="1"/>
        <v>9600</v>
      </c>
      <c r="O11" s="13">
        <f t="shared" si="1"/>
        <v>600</v>
      </c>
      <c r="P11" s="13">
        <f t="shared" si="5"/>
        <v>97600</v>
      </c>
    </row>
    <row r="12" spans="1:16">
      <c r="B12" t="s">
        <v>409</v>
      </c>
      <c r="C12" s="142">
        <v>1</v>
      </c>
      <c r="D12" s="278" t="s">
        <v>508</v>
      </c>
      <c r="E12" s="13">
        <v>80000</v>
      </c>
      <c r="F12" s="13">
        <f t="shared" si="2"/>
        <v>80000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3"/>
        <v>80000</v>
      </c>
      <c r="L12" s="13">
        <f t="shared" si="4"/>
        <v>2800.0000000000005</v>
      </c>
      <c r="M12" s="13">
        <f t="shared" si="1"/>
        <v>4600</v>
      </c>
      <c r="N12" s="13">
        <f t="shared" si="1"/>
        <v>9600</v>
      </c>
      <c r="O12" s="13">
        <f t="shared" si="1"/>
        <v>600</v>
      </c>
      <c r="P12" s="13">
        <f t="shared" si="5"/>
        <v>97600</v>
      </c>
    </row>
    <row r="13" spans="1:16">
      <c r="B13" s="281" t="s">
        <v>411</v>
      </c>
      <c r="C13" s="142"/>
      <c r="D13" s="278"/>
      <c r="E13" s="13"/>
      <c r="F13" s="282">
        <f>SUM(F7:F12)</f>
        <v>505000</v>
      </c>
      <c r="G13" s="282">
        <f t="shared" si="0"/>
        <v>0</v>
      </c>
      <c r="H13" s="282">
        <f t="shared" si="0"/>
        <v>0</v>
      </c>
      <c r="I13" s="282">
        <f t="shared" si="0"/>
        <v>0</v>
      </c>
      <c r="J13" s="282">
        <f t="shared" si="0"/>
        <v>0</v>
      </c>
      <c r="K13" s="282">
        <f t="shared" si="3"/>
        <v>505000</v>
      </c>
      <c r="L13" s="282">
        <f t="shared" si="4"/>
        <v>17675</v>
      </c>
      <c r="M13" s="282">
        <f t="shared" si="1"/>
        <v>29037.5</v>
      </c>
      <c r="N13" s="282">
        <f t="shared" si="1"/>
        <v>60600</v>
      </c>
      <c r="O13" s="282">
        <f t="shared" si="1"/>
        <v>3787.5</v>
      </c>
      <c r="P13" s="282">
        <f t="shared" si="5"/>
        <v>616100</v>
      </c>
    </row>
    <row r="14" spans="1:16">
      <c r="A14" t="s">
        <v>412</v>
      </c>
      <c r="C14" s="142"/>
      <c r="E14" s="13"/>
      <c r="F14" s="13"/>
    </row>
    <row r="15" spans="1:16">
      <c r="B15" t="s">
        <v>413</v>
      </c>
      <c r="C15" s="142">
        <f>ROUND(E37*SUM(C8:C12),0)</f>
        <v>1</v>
      </c>
      <c r="D15" s="278" t="s">
        <v>410</v>
      </c>
      <c r="E15" s="13">
        <v>80000</v>
      </c>
      <c r="F15" s="13">
        <f t="shared" si="2"/>
        <v>80000</v>
      </c>
      <c r="G15" s="13">
        <f>$F15*G$5</f>
        <v>0</v>
      </c>
      <c r="H15" s="13">
        <f>$F15*H$5</f>
        <v>0</v>
      </c>
      <c r="I15" s="13">
        <f>$F15*I$5</f>
        <v>0</v>
      </c>
      <c r="J15" s="13">
        <f>$F15*J$5</f>
        <v>0</v>
      </c>
      <c r="K15" s="13">
        <f>SUM(F15:J15)</f>
        <v>80000</v>
      </c>
      <c r="L15" s="13">
        <f t="shared" si="4"/>
        <v>2800.0000000000005</v>
      </c>
      <c r="M15" s="13">
        <f t="shared" si="1"/>
        <v>4600</v>
      </c>
      <c r="N15" s="13">
        <f t="shared" si="1"/>
        <v>9600</v>
      </c>
      <c r="O15" s="13">
        <f t="shared" si="1"/>
        <v>600</v>
      </c>
      <c r="P15" s="13">
        <f t="shared" si="5"/>
        <v>97600</v>
      </c>
    </row>
    <row r="17" spans="1:16">
      <c r="A17" s="272" t="s">
        <v>99</v>
      </c>
      <c r="C17" s="283">
        <f>SUM(C7:C16)</f>
        <v>7</v>
      </c>
      <c r="D17" s="272"/>
      <c r="E17" s="284"/>
      <c r="F17" s="284">
        <f>SUM(F13:F16)</f>
        <v>585000</v>
      </c>
      <c r="G17" s="284">
        <f t="shared" ref="G17:P17" si="6">SUM(G13:G16)</f>
        <v>0</v>
      </c>
      <c r="H17" s="284">
        <f t="shared" si="6"/>
        <v>0</v>
      </c>
      <c r="I17" s="284">
        <f t="shared" si="6"/>
        <v>0</v>
      </c>
      <c r="J17" s="284">
        <f t="shared" si="6"/>
        <v>0</v>
      </c>
      <c r="K17" s="284">
        <f t="shared" si="6"/>
        <v>585000</v>
      </c>
      <c r="L17" s="284">
        <f t="shared" si="6"/>
        <v>20475</v>
      </c>
      <c r="M17" s="284">
        <f t="shared" si="6"/>
        <v>33637.5</v>
      </c>
      <c r="N17" s="284">
        <f t="shared" si="6"/>
        <v>70200</v>
      </c>
      <c r="O17" s="284">
        <f t="shared" si="6"/>
        <v>4387.5</v>
      </c>
      <c r="P17" s="284">
        <f t="shared" si="6"/>
        <v>713700</v>
      </c>
    </row>
    <row r="19" spans="1:16">
      <c r="A19" s="272" t="s">
        <v>414</v>
      </c>
    </row>
    <row r="20" spans="1:16">
      <c r="E20" s="285" t="s">
        <v>415</v>
      </c>
      <c r="F20" s="285"/>
    </row>
    <row r="21" spans="1:16">
      <c r="B21" s="281" t="s">
        <v>416</v>
      </c>
      <c r="C21">
        <v>52</v>
      </c>
      <c r="D21">
        <v>38</v>
      </c>
      <c r="E21" s="13">
        <f>C21*D21</f>
        <v>1976</v>
      </c>
      <c r="F21" s="13"/>
    </row>
    <row r="22" spans="1:16">
      <c r="B22" s="281" t="s">
        <v>417</v>
      </c>
      <c r="C22">
        <v>4</v>
      </c>
      <c r="D22">
        <v>38</v>
      </c>
      <c r="E22" s="13">
        <f>C22*D22</f>
        <v>152</v>
      </c>
      <c r="F22" s="13"/>
      <c r="G22" s="286">
        <f>E22/E$21</f>
        <v>7.6923076923076927E-2</v>
      </c>
    </row>
    <row r="23" spans="1:16">
      <c r="B23" s="281" t="s">
        <v>418</v>
      </c>
      <c r="C23">
        <v>10</v>
      </c>
      <c r="D23">
        <v>7.6</v>
      </c>
      <c r="E23" s="13">
        <f>C23*D23</f>
        <v>76</v>
      </c>
      <c r="F23" s="13"/>
      <c r="G23" s="286">
        <f>E23/E$21</f>
        <v>3.8461538461538464E-2</v>
      </c>
    </row>
    <row r="24" spans="1:16">
      <c r="B24" s="281"/>
      <c r="E24" s="13"/>
      <c r="F24" s="13"/>
      <c r="G24" s="286"/>
    </row>
    <row r="25" spans="1:16">
      <c r="B25" s="287" t="s">
        <v>419</v>
      </c>
      <c r="C25" s="272"/>
      <c r="D25" s="272"/>
      <c r="E25" s="284">
        <f>E21-E22-E24-E23</f>
        <v>1748</v>
      </c>
      <c r="F25" s="284"/>
      <c r="G25" s="288"/>
    </row>
    <row r="26" spans="1:16">
      <c r="E26" s="13"/>
      <c r="F26" s="13"/>
      <c r="G26" s="288"/>
    </row>
    <row r="27" spans="1:16">
      <c r="B27" s="281" t="s">
        <v>420</v>
      </c>
      <c r="C27">
        <v>10</v>
      </c>
      <c r="D27">
        <f>38/5</f>
        <v>7.6</v>
      </c>
      <c r="E27" s="13">
        <f>C27*D27</f>
        <v>76</v>
      </c>
      <c r="F27" s="13"/>
      <c r="G27" s="286">
        <f>E27/E$21</f>
        <v>3.8461538461538464E-2</v>
      </c>
    </row>
    <row r="28" spans="1:16">
      <c r="E28" s="13"/>
      <c r="F28" s="13"/>
      <c r="G28" s="288"/>
    </row>
    <row r="29" spans="1:16">
      <c r="B29" s="287" t="s">
        <v>421</v>
      </c>
      <c r="C29" s="272"/>
      <c r="D29" s="272"/>
      <c r="E29" s="284">
        <f>E25-E27</f>
        <v>1672</v>
      </c>
      <c r="F29" s="284"/>
      <c r="G29" s="286">
        <f>E29/E$21</f>
        <v>0.84615384615384615</v>
      </c>
    </row>
    <row r="30" spans="1:16">
      <c r="E30" s="13"/>
      <c r="F30" s="13"/>
      <c r="G30" s="288"/>
    </row>
    <row r="31" spans="1:16">
      <c r="B31" s="281" t="s">
        <v>422</v>
      </c>
      <c r="C31">
        <v>3</v>
      </c>
      <c r="D31">
        <f>38/5</f>
        <v>7.6</v>
      </c>
      <c r="E31" s="13">
        <f>C31*D31</f>
        <v>22.799999999999997</v>
      </c>
      <c r="F31" s="13"/>
      <c r="G31" s="286">
        <f>E31/E21</f>
        <v>1.1538461538461537E-2</v>
      </c>
    </row>
    <row r="32" spans="1:16" ht="6" customHeight="1">
      <c r="E32" s="13"/>
      <c r="F32" s="13"/>
    </row>
    <row r="33" spans="2:6">
      <c r="B33" s="272" t="s">
        <v>423</v>
      </c>
      <c r="C33" s="272"/>
      <c r="D33" s="272"/>
      <c r="E33" s="284">
        <f>SUM(E29-E31)</f>
        <v>1649.2</v>
      </c>
      <c r="F33" s="284"/>
    </row>
    <row r="34" spans="2:6" ht="6" customHeight="1">
      <c r="E34" s="13"/>
      <c r="F34" s="13"/>
    </row>
    <row r="35" spans="2:6">
      <c r="B35" s="289" t="s">
        <v>424</v>
      </c>
      <c r="E35" s="13">
        <f>E21-E33</f>
        <v>326.79999999999995</v>
      </c>
      <c r="F35" s="13"/>
    </row>
    <row r="36" spans="2:6" ht="6" customHeight="1">
      <c r="B36" s="289"/>
      <c r="E36" s="13"/>
      <c r="F36" s="13"/>
    </row>
    <row r="37" spans="2:6">
      <c r="B37" s="287" t="s">
        <v>425</v>
      </c>
      <c r="C37" s="272"/>
      <c r="D37" s="272"/>
      <c r="E37" s="290">
        <f>(E21-E33)/E33</f>
        <v>0.19815668202764974</v>
      </c>
      <c r="F37" s="290"/>
    </row>
    <row r="43" spans="2:6">
      <c r="C43" s="291"/>
      <c r="E43" s="13"/>
      <c r="F43" s="13"/>
    </row>
    <row r="44" spans="2:6">
      <c r="C44" s="291"/>
      <c r="E44" s="13"/>
      <c r="F44" s="13"/>
    </row>
    <row r="45" spans="2:6">
      <c r="C45" s="291"/>
      <c r="E45" s="13"/>
      <c r="F45" s="13"/>
    </row>
    <row r="46" spans="2:6">
      <c r="C46" s="291"/>
      <c r="E46" s="13"/>
      <c r="F46" s="13"/>
    </row>
    <row r="47" spans="2:6">
      <c r="C47" s="291"/>
      <c r="E47" s="13"/>
      <c r="F47" s="13"/>
    </row>
    <row r="48" spans="2:6">
      <c r="E48" s="13"/>
      <c r="F48" s="13"/>
    </row>
    <row r="49" spans="2:6">
      <c r="C49" s="291"/>
      <c r="E49" s="13"/>
      <c r="F49" s="13"/>
    </row>
    <row r="52" spans="2:6">
      <c r="C52" s="285"/>
      <c r="D52" s="285"/>
      <c r="E52" s="285"/>
      <c r="F52" s="285"/>
    </row>
    <row r="53" spans="2:6">
      <c r="C53" s="292"/>
    </row>
    <row r="55" spans="2:6">
      <c r="B55" s="281"/>
      <c r="C55" s="293"/>
      <c r="D55" s="27"/>
    </row>
    <row r="56" spans="2:6">
      <c r="B56" s="281"/>
      <c r="C56" s="293"/>
      <c r="D56" s="27"/>
    </row>
    <row r="57" spans="2:6">
      <c r="B57" s="281"/>
      <c r="C57" s="293"/>
    </row>
    <row r="60" spans="2:6">
      <c r="B60" s="281"/>
      <c r="C60" s="292"/>
      <c r="D60" s="27"/>
    </row>
    <row r="61" spans="2:6">
      <c r="B61" s="281"/>
      <c r="C61" s="292"/>
      <c r="D61" s="27"/>
    </row>
    <row r="62" spans="2:6">
      <c r="B62" s="281"/>
      <c r="C62" s="292"/>
      <c r="D62" s="27"/>
    </row>
    <row r="63" spans="2:6">
      <c r="B63" s="281"/>
      <c r="C63" s="292"/>
      <c r="D63" s="27"/>
    </row>
    <row r="64" spans="2:6">
      <c r="B64" s="281"/>
      <c r="C64" s="292"/>
      <c r="D64" s="27"/>
    </row>
    <row r="65" spans="2:4">
      <c r="B65" s="281"/>
      <c r="C65" s="292"/>
      <c r="D65" s="27"/>
    </row>
    <row r="66" spans="2:4">
      <c r="D66" s="27"/>
    </row>
    <row r="67" spans="2:4">
      <c r="C67" s="292"/>
      <c r="D67" s="294"/>
    </row>
    <row r="68" spans="2:4">
      <c r="C68" s="294"/>
      <c r="D68" s="292"/>
    </row>
  </sheetData>
  <mergeCells count="2">
    <mergeCell ref="G3:J3"/>
    <mergeCell ref="L3:O3"/>
  </mergeCells>
  <pageMargins left="0.75" right="0.75" top="1" bottom="1" header="0.3" footer="0.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P68"/>
  <sheetViews>
    <sheetView showGridLines="0" workbookViewId="0">
      <selection activeCell="E16" sqref="E16"/>
    </sheetView>
  </sheetViews>
  <sheetFormatPr baseColWidth="10" defaultRowHeight="13"/>
  <cols>
    <col min="1" max="1" width="3.1640625" customWidth="1"/>
    <col min="2" max="2" width="17.1640625" customWidth="1"/>
    <col min="3" max="3" width="6.5" customWidth="1"/>
    <col min="4" max="4" width="6.1640625" bestFit="1" customWidth="1"/>
    <col min="7" max="7" width="8.83203125" customWidth="1"/>
    <col min="8" max="8" width="8" bestFit="1" customWidth="1"/>
    <col min="9" max="9" width="8.33203125" customWidth="1"/>
    <col min="10" max="10" width="7" bestFit="1" customWidth="1"/>
    <col min="12" max="12" width="9.5" customWidth="1"/>
    <col min="13" max="13" width="9.5" bestFit="1" customWidth="1"/>
    <col min="14" max="14" width="6.5" bestFit="1" customWidth="1"/>
    <col min="15" max="15" width="13.1640625" customWidth="1"/>
  </cols>
  <sheetData>
    <row r="3" spans="1:16">
      <c r="G3" s="685" t="s">
        <v>391</v>
      </c>
      <c r="H3" s="685"/>
      <c r="I3" s="685"/>
      <c r="J3" s="685"/>
      <c r="L3" s="686" t="s">
        <v>392</v>
      </c>
      <c r="M3" s="686"/>
      <c r="N3" s="686"/>
      <c r="O3" s="686"/>
    </row>
    <row r="4" spans="1:16" ht="42">
      <c r="A4" s="272" t="s">
        <v>393</v>
      </c>
      <c r="C4" s="273" t="s">
        <v>394</v>
      </c>
      <c r="D4" s="274" t="s">
        <v>385</v>
      </c>
      <c r="E4" s="274" t="s">
        <v>395</v>
      </c>
      <c r="F4" s="274" t="s">
        <v>396</v>
      </c>
      <c r="G4" s="275" t="s">
        <v>397</v>
      </c>
      <c r="H4" s="275" t="s">
        <v>398</v>
      </c>
      <c r="I4" s="275" t="s">
        <v>399</v>
      </c>
      <c r="J4" s="275" t="s">
        <v>400</v>
      </c>
      <c r="K4" s="276" t="s">
        <v>401</v>
      </c>
      <c r="L4" s="277" t="s">
        <v>402</v>
      </c>
      <c r="M4" s="277" t="s">
        <v>403</v>
      </c>
      <c r="N4" s="277" t="s">
        <v>404</v>
      </c>
      <c r="O4" s="277" t="s">
        <v>405</v>
      </c>
      <c r="P4" s="276" t="s">
        <v>406</v>
      </c>
    </row>
    <row r="5" spans="1:16">
      <c r="A5" s="272"/>
      <c r="C5" s="273"/>
      <c r="D5" s="278"/>
      <c r="G5" s="279">
        <v>0.15</v>
      </c>
      <c r="H5" s="279">
        <v>0.03</v>
      </c>
      <c r="I5" s="279">
        <v>0.02</v>
      </c>
      <c r="J5" s="280">
        <v>0.02</v>
      </c>
      <c r="K5" s="276"/>
      <c r="L5" s="279">
        <v>3.5000000000000003E-2</v>
      </c>
      <c r="M5" s="279">
        <v>5.7500000000000002E-2</v>
      </c>
      <c r="N5" s="279">
        <v>0.12</v>
      </c>
      <c r="O5" s="280">
        <v>7.4999999999999997E-3</v>
      </c>
    </row>
    <row r="6" spans="1:16">
      <c r="A6" t="s">
        <v>407</v>
      </c>
      <c r="D6" s="278"/>
    </row>
    <row r="7" spans="1:16">
      <c r="B7" t="s">
        <v>408</v>
      </c>
      <c r="C7" s="142">
        <v>1</v>
      </c>
      <c r="D7" s="278" t="s">
        <v>507</v>
      </c>
      <c r="E7" s="13">
        <v>105000</v>
      </c>
      <c r="F7" s="13">
        <f>C7*E7</f>
        <v>105000</v>
      </c>
      <c r="G7" s="13">
        <f t="shared" ref="G7:J13" si="0">$F7*G$5</f>
        <v>15750</v>
      </c>
      <c r="H7" s="13">
        <f t="shared" si="0"/>
        <v>3150</v>
      </c>
      <c r="I7" s="13">
        <f t="shared" si="0"/>
        <v>2100</v>
      </c>
      <c r="J7" s="13">
        <f t="shared" si="0"/>
        <v>2100</v>
      </c>
      <c r="K7" s="13">
        <f>SUM(F7:J7)</f>
        <v>128100</v>
      </c>
      <c r="L7" s="13">
        <f>$K7*L$5</f>
        <v>4483.5</v>
      </c>
      <c r="M7" s="13">
        <f t="shared" ref="M7:O15" si="1">$K7*M$5</f>
        <v>7365.75</v>
      </c>
      <c r="N7" s="13">
        <f t="shared" si="1"/>
        <v>15372</v>
      </c>
      <c r="O7" s="13">
        <f t="shared" si="1"/>
        <v>960.75</v>
      </c>
      <c r="P7" s="13">
        <f>SUM(K7:O7)</f>
        <v>156282</v>
      </c>
    </row>
    <row r="8" spans="1:16">
      <c r="B8" t="s">
        <v>409</v>
      </c>
      <c r="C8" s="142">
        <v>1</v>
      </c>
      <c r="D8" s="278" t="s">
        <v>508</v>
      </c>
      <c r="E8" s="13">
        <v>80000</v>
      </c>
      <c r="F8" s="13">
        <f t="shared" ref="F8:F15" si="2">C8*E8</f>
        <v>80000</v>
      </c>
      <c r="G8" s="13">
        <f t="shared" si="0"/>
        <v>12000</v>
      </c>
      <c r="H8" s="13">
        <f t="shared" si="0"/>
        <v>2400</v>
      </c>
      <c r="I8" s="13">
        <f t="shared" si="0"/>
        <v>1600</v>
      </c>
      <c r="J8" s="13">
        <f t="shared" si="0"/>
        <v>1600</v>
      </c>
      <c r="K8" s="13">
        <f t="shared" ref="K8:K13" si="3">SUM(F8:J8)</f>
        <v>97600</v>
      </c>
      <c r="L8" s="13">
        <f t="shared" ref="L8:L15" si="4">$K8*L$5</f>
        <v>3416.0000000000005</v>
      </c>
      <c r="M8" s="13">
        <f t="shared" si="1"/>
        <v>5612</v>
      </c>
      <c r="N8" s="13">
        <f t="shared" si="1"/>
        <v>11712</v>
      </c>
      <c r="O8" s="13">
        <f t="shared" si="1"/>
        <v>732</v>
      </c>
      <c r="P8" s="13">
        <f t="shared" ref="P8:P15" si="5">SUM(K8:O8)</f>
        <v>119072</v>
      </c>
    </row>
    <row r="9" spans="1:16">
      <c r="B9" t="s">
        <v>409</v>
      </c>
      <c r="C9" s="142">
        <v>1</v>
      </c>
      <c r="D9" s="278" t="s">
        <v>508</v>
      </c>
      <c r="E9" s="13">
        <v>80000</v>
      </c>
      <c r="F9" s="13">
        <f t="shared" si="2"/>
        <v>80000</v>
      </c>
      <c r="G9" s="13">
        <f t="shared" si="0"/>
        <v>12000</v>
      </c>
      <c r="H9" s="13">
        <f t="shared" si="0"/>
        <v>2400</v>
      </c>
      <c r="I9" s="13">
        <f t="shared" si="0"/>
        <v>1600</v>
      </c>
      <c r="J9" s="13">
        <f t="shared" si="0"/>
        <v>1600</v>
      </c>
      <c r="K9" s="13">
        <f t="shared" si="3"/>
        <v>97600</v>
      </c>
      <c r="L9" s="13">
        <f t="shared" si="4"/>
        <v>3416.0000000000005</v>
      </c>
      <c r="M9" s="13">
        <f t="shared" si="1"/>
        <v>5612</v>
      </c>
      <c r="N9" s="13">
        <f t="shared" si="1"/>
        <v>11712</v>
      </c>
      <c r="O9" s="13">
        <f t="shared" si="1"/>
        <v>732</v>
      </c>
      <c r="P9" s="13">
        <f t="shared" si="5"/>
        <v>119072</v>
      </c>
    </row>
    <row r="10" spans="1:16">
      <c r="B10" t="s">
        <v>409</v>
      </c>
      <c r="C10" s="142">
        <v>1</v>
      </c>
      <c r="D10" s="278" t="s">
        <v>508</v>
      </c>
      <c r="E10" s="13">
        <v>80000</v>
      </c>
      <c r="F10" s="13">
        <f t="shared" si="2"/>
        <v>80000</v>
      </c>
      <c r="G10" s="13">
        <f t="shared" si="0"/>
        <v>12000</v>
      </c>
      <c r="H10" s="13">
        <f t="shared" si="0"/>
        <v>2400</v>
      </c>
      <c r="I10" s="13">
        <f t="shared" si="0"/>
        <v>1600</v>
      </c>
      <c r="J10" s="13">
        <f t="shared" si="0"/>
        <v>1600</v>
      </c>
      <c r="K10" s="13">
        <f t="shared" si="3"/>
        <v>97600</v>
      </c>
      <c r="L10" s="13">
        <f t="shared" si="4"/>
        <v>3416.0000000000005</v>
      </c>
      <c r="M10" s="13">
        <f t="shared" si="1"/>
        <v>5612</v>
      </c>
      <c r="N10" s="13">
        <f t="shared" si="1"/>
        <v>11712</v>
      </c>
      <c r="O10" s="13">
        <f t="shared" si="1"/>
        <v>732</v>
      </c>
      <c r="P10" s="13">
        <f t="shared" si="5"/>
        <v>119072</v>
      </c>
    </row>
    <row r="11" spans="1:16">
      <c r="B11" t="s">
        <v>409</v>
      </c>
      <c r="C11" s="142">
        <v>1</v>
      </c>
      <c r="D11" s="278" t="s">
        <v>508</v>
      </c>
      <c r="E11" s="13">
        <v>80000</v>
      </c>
      <c r="F11" s="13">
        <f t="shared" si="2"/>
        <v>80000</v>
      </c>
      <c r="G11" s="13">
        <f t="shared" si="0"/>
        <v>12000</v>
      </c>
      <c r="H11" s="13">
        <f t="shared" si="0"/>
        <v>2400</v>
      </c>
      <c r="I11" s="13">
        <f t="shared" si="0"/>
        <v>1600</v>
      </c>
      <c r="J11" s="13">
        <f t="shared" si="0"/>
        <v>1600</v>
      </c>
      <c r="K11" s="13">
        <f t="shared" si="3"/>
        <v>97600</v>
      </c>
      <c r="L11" s="13">
        <f t="shared" si="4"/>
        <v>3416.0000000000005</v>
      </c>
      <c r="M11" s="13">
        <f t="shared" si="1"/>
        <v>5612</v>
      </c>
      <c r="N11" s="13">
        <f t="shared" si="1"/>
        <v>11712</v>
      </c>
      <c r="O11" s="13">
        <f t="shared" si="1"/>
        <v>732</v>
      </c>
      <c r="P11" s="13">
        <f t="shared" si="5"/>
        <v>119072</v>
      </c>
    </row>
    <row r="12" spans="1:16">
      <c r="B12" t="s">
        <v>409</v>
      </c>
      <c r="C12" s="142">
        <v>1</v>
      </c>
      <c r="D12" s="278" t="s">
        <v>508</v>
      </c>
      <c r="E12" s="13">
        <v>80000</v>
      </c>
      <c r="F12" s="13">
        <f t="shared" si="2"/>
        <v>80000</v>
      </c>
      <c r="G12" s="13">
        <f t="shared" si="0"/>
        <v>12000</v>
      </c>
      <c r="H12" s="13">
        <f t="shared" si="0"/>
        <v>2400</v>
      </c>
      <c r="I12" s="13">
        <f t="shared" si="0"/>
        <v>1600</v>
      </c>
      <c r="J12" s="13">
        <f t="shared" si="0"/>
        <v>1600</v>
      </c>
      <c r="K12" s="13">
        <f t="shared" si="3"/>
        <v>97600</v>
      </c>
      <c r="L12" s="13">
        <f t="shared" si="4"/>
        <v>3416.0000000000005</v>
      </c>
      <c r="M12" s="13">
        <f t="shared" si="1"/>
        <v>5612</v>
      </c>
      <c r="N12" s="13">
        <f t="shared" si="1"/>
        <v>11712</v>
      </c>
      <c r="O12" s="13">
        <f t="shared" si="1"/>
        <v>732</v>
      </c>
      <c r="P12" s="13">
        <f t="shared" si="5"/>
        <v>119072</v>
      </c>
    </row>
    <row r="13" spans="1:16">
      <c r="B13" s="281" t="s">
        <v>411</v>
      </c>
      <c r="C13" s="142"/>
      <c r="D13" s="278"/>
      <c r="E13" s="13"/>
      <c r="F13" s="282">
        <f>SUM(F7:F12)</f>
        <v>505000</v>
      </c>
      <c r="G13" s="282">
        <f t="shared" si="0"/>
        <v>75750</v>
      </c>
      <c r="H13" s="282">
        <f t="shared" si="0"/>
        <v>15150</v>
      </c>
      <c r="I13" s="282">
        <f t="shared" si="0"/>
        <v>10100</v>
      </c>
      <c r="J13" s="282">
        <f t="shared" si="0"/>
        <v>10100</v>
      </c>
      <c r="K13" s="282">
        <f t="shared" si="3"/>
        <v>616100</v>
      </c>
      <c r="L13" s="282">
        <f t="shared" si="4"/>
        <v>21563.500000000004</v>
      </c>
      <c r="M13" s="282">
        <f t="shared" si="1"/>
        <v>35425.75</v>
      </c>
      <c r="N13" s="282">
        <f t="shared" si="1"/>
        <v>73932</v>
      </c>
      <c r="O13" s="282">
        <f t="shared" si="1"/>
        <v>4620.75</v>
      </c>
      <c r="P13" s="282">
        <f t="shared" si="5"/>
        <v>751642</v>
      </c>
    </row>
    <row r="14" spans="1:16">
      <c r="A14" t="s">
        <v>412</v>
      </c>
      <c r="C14" s="142"/>
      <c r="E14" s="13"/>
      <c r="F14" s="13"/>
    </row>
    <row r="15" spans="1:16">
      <c r="B15" t="s">
        <v>413</v>
      </c>
      <c r="C15" s="142">
        <f>ROUND(E37*SUM(C8:C12),0)</f>
        <v>1</v>
      </c>
      <c r="D15" s="278" t="s">
        <v>508</v>
      </c>
      <c r="E15" s="13">
        <v>80000</v>
      </c>
      <c r="F15" s="13">
        <f t="shared" si="2"/>
        <v>80000</v>
      </c>
      <c r="G15" s="13">
        <f>$F15*G$5</f>
        <v>12000</v>
      </c>
      <c r="H15" s="13">
        <f>$F15*H$5</f>
        <v>2400</v>
      </c>
      <c r="I15" s="13">
        <f>$F15*I$5</f>
        <v>1600</v>
      </c>
      <c r="J15" s="13">
        <f>$F15*J$5</f>
        <v>1600</v>
      </c>
      <c r="K15" s="13">
        <f>SUM(F15:J15)</f>
        <v>97600</v>
      </c>
      <c r="L15" s="13">
        <f t="shared" si="4"/>
        <v>3416.0000000000005</v>
      </c>
      <c r="M15" s="13">
        <f t="shared" si="1"/>
        <v>5612</v>
      </c>
      <c r="N15" s="13">
        <f t="shared" si="1"/>
        <v>11712</v>
      </c>
      <c r="O15" s="13">
        <f t="shared" si="1"/>
        <v>732</v>
      </c>
      <c r="P15" s="13">
        <f t="shared" si="5"/>
        <v>119072</v>
      </c>
    </row>
    <row r="17" spans="1:16">
      <c r="A17" s="272" t="s">
        <v>99</v>
      </c>
      <c r="C17" s="283">
        <f>SUM(C7:C16)</f>
        <v>7</v>
      </c>
      <c r="D17" s="272"/>
      <c r="E17" s="284"/>
      <c r="F17" s="284">
        <f>SUM(F13:F16)</f>
        <v>585000</v>
      </c>
      <c r="G17" s="284">
        <f t="shared" ref="G17:P17" si="6">SUM(G13:G16)</f>
        <v>87750</v>
      </c>
      <c r="H17" s="284">
        <f t="shared" si="6"/>
        <v>17550</v>
      </c>
      <c r="I17" s="284">
        <f t="shared" si="6"/>
        <v>11700</v>
      </c>
      <c r="J17" s="284">
        <f t="shared" si="6"/>
        <v>11700</v>
      </c>
      <c r="K17" s="284">
        <f t="shared" si="6"/>
        <v>713700</v>
      </c>
      <c r="L17" s="284">
        <f t="shared" si="6"/>
        <v>24979.500000000004</v>
      </c>
      <c r="M17" s="284">
        <f t="shared" si="6"/>
        <v>41037.75</v>
      </c>
      <c r="N17" s="284">
        <f t="shared" si="6"/>
        <v>85644</v>
      </c>
      <c r="O17" s="284">
        <f t="shared" si="6"/>
        <v>5352.75</v>
      </c>
      <c r="P17" s="284">
        <f t="shared" si="6"/>
        <v>870714</v>
      </c>
    </row>
    <row r="19" spans="1:16">
      <c r="A19" s="272" t="s">
        <v>414</v>
      </c>
    </row>
    <row r="20" spans="1:16">
      <c r="E20" s="285" t="s">
        <v>415</v>
      </c>
      <c r="F20" s="285"/>
    </row>
    <row r="21" spans="1:16">
      <c r="B21" s="281" t="s">
        <v>416</v>
      </c>
      <c r="C21">
        <v>52</v>
      </c>
      <c r="D21">
        <v>38</v>
      </c>
      <c r="E21" s="13">
        <f>C21*D21</f>
        <v>1976</v>
      </c>
      <c r="F21" s="13"/>
    </row>
    <row r="22" spans="1:16">
      <c r="B22" s="281" t="s">
        <v>417</v>
      </c>
      <c r="C22">
        <v>4</v>
      </c>
      <c r="D22">
        <v>38</v>
      </c>
      <c r="E22" s="13">
        <f>C22*D22</f>
        <v>152</v>
      </c>
      <c r="F22" s="13"/>
      <c r="G22" s="286">
        <f>E22/E$21</f>
        <v>7.6923076923076927E-2</v>
      </c>
    </row>
    <row r="23" spans="1:16">
      <c r="B23" s="281" t="s">
        <v>418</v>
      </c>
      <c r="C23">
        <v>10</v>
      </c>
      <c r="D23">
        <v>7.6</v>
      </c>
      <c r="E23" s="13">
        <f>C23*D23</f>
        <v>76</v>
      </c>
      <c r="F23" s="13"/>
      <c r="G23" s="286">
        <f>E23/E$21</f>
        <v>3.8461538461538464E-2</v>
      </c>
    </row>
    <row r="24" spans="1:16">
      <c r="B24" s="281"/>
      <c r="E24" s="13"/>
      <c r="F24" s="13"/>
      <c r="G24" s="286"/>
    </row>
    <row r="25" spans="1:16">
      <c r="B25" s="287" t="s">
        <v>419</v>
      </c>
      <c r="C25" s="272"/>
      <c r="D25" s="272"/>
      <c r="E25" s="284">
        <f>E21-E22-E24-E23</f>
        <v>1748</v>
      </c>
      <c r="F25" s="284"/>
      <c r="G25" s="288"/>
    </row>
    <row r="26" spans="1:16">
      <c r="E26" s="13"/>
      <c r="F26" s="13"/>
      <c r="G26" s="288"/>
    </row>
    <row r="27" spans="1:16">
      <c r="B27" s="281" t="s">
        <v>420</v>
      </c>
      <c r="C27">
        <v>10</v>
      </c>
      <c r="D27">
        <f>38/5</f>
        <v>7.6</v>
      </c>
      <c r="E27" s="13">
        <f>C27*D27</f>
        <v>76</v>
      </c>
      <c r="F27" s="13"/>
      <c r="G27" s="286">
        <f>E27/E$21</f>
        <v>3.8461538461538464E-2</v>
      </c>
    </row>
    <row r="28" spans="1:16">
      <c r="E28" s="13"/>
      <c r="F28" s="13"/>
      <c r="G28" s="288"/>
    </row>
    <row r="29" spans="1:16">
      <c r="B29" s="287" t="s">
        <v>421</v>
      </c>
      <c r="C29" s="272"/>
      <c r="D29" s="272"/>
      <c r="E29" s="284">
        <f>E25-E27</f>
        <v>1672</v>
      </c>
      <c r="F29" s="284"/>
      <c r="G29" s="286">
        <f>E29/E$21</f>
        <v>0.84615384615384615</v>
      </c>
    </row>
    <row r="30" spans="1:16">
      <c r="E30" s="13"/>
      <c r="F30" s="13"/>
      <c r="G30" s="288"/>
    </row>
    <row r="31" spans="1:16">
      <c r="B31" s="281" t="s">
        <v>422</v>
      </c>
      <c r="C31">
        <v>3</v>
      </c>
      <c r="D31">
        <f>38/5</f>
        <v>7.6</v>
      </c>
      <c r="E31" s="13">
        <f>C31*D31</f>
        <v>22.799999999999997</v>
      </c>
      <c r="F31" s="13"/>
      <c r="G31" s="286">
        <f>E31/E21</f>
        <v>1.1538461538461537E-2</v>
      </c>
    </row>
    <row r="32" spans="1:16" ht="6" customHeight="1">
      <c r="E32" s="13"/>
      <c r="F32" s="13"/>
    </row>
    <row r="33" spans="2:6">
      <c r="B33" s="272" t="s">
        <v>423</v>
      </c>
      <c r="C33" s="272"/>
      <c r="D33" s="272"/>
      <c r="E33" s="284">
        <f>SUM(E29-E31)</f>
        <v>1649.2</v>
      </c>
      <c r="F33" s="284"/>
    </row>
    <row r="34" spans="2:6" ht="6" customHeight="1">
      <c r="E34" s="13"/>
      <c r="F34" s="13"/>
    </row>
    <row r="35" spans="2:6">
      <c r="B35" s="289" t="s">
        <v>424</v>
      </c>
      <c r="E35" s="13">
        <f>E21-E33</f>
        <v>326.79999999999995</v>
      </c>
      <c r="F35" s="13"/>
    </row>
    <row r="36" spans="2:6" ht="6" customHeight="1">
      <c r="B36" s="289"/>
      <c r="E36" s="13"/>
      <c r="F36" s="13"/>
    </row>
    <row r="37" spans="2:6">
      <c r="B37" s="287" t="s">
        <v>425</v>
      </c>
      <c r="C37" s="272"/>
      <c r="D37" s="272"/>
      <c r="E37" s="290">
        <f>(E21-E33)/E33</f>
        <v>0.19815668202764974</v>
      </c>
      <c r="F37" s="290"/>
    </row>
    <row r="43" spans="2:6">
      <c r="C43" s="291"/>
      <c r="E43" s="13"/>
      <c r="F43" s="13"/>
    </row>
    <row r="44" spans="2:6">
      <c r="C44" s="291"/>
      <c r="E44" s="13"/>
      <c r="F44" s="13"/>
    </row>
    <row r="45" spans="2:6">
      <c r="C45" s="291"/>
      <c r="E45" s="13"/>
      <c r="F45" s="13"/>
    </row>
    <row r="46" spans="2:6">
      <c r="C46" s="291"/>
      <c r="E46" s="13"/>
      <c r="F46" s="13"/>
    </row>
    <row r="47" spans="2:6">
      <c r="C47" s="291"/>
      <c r="E47" s="13"/>
      <c r="F47" s="13"/>
    </row>
    <row r="48" spans="2:6">
      <c r="E48" s="13"/>
      <c r="F48" s="13"/>
    </row>
    <row r="49" spans="2:6">
      <c r="C49" s="291"/>
      <c r="E49" s="13"/>
      <c r="F49" s="13"/>
    </row>
    <row r="52" spans="2:6">
      <c r="C52" s="285"/>
      <c r="D52" s="285"/>
      <c r="E52" s="285"/>
      <c r="F52" s="285"/>
    </row>
    <row r="53" spans="2:6">
      <c r="C53" s="292"/>
    </row>
    <row r="55" spans="2:6">
      <c r="B55" s="281"/>
      <c r="C55" s="293"/>
      <c r="D55" s="27"/>
    </row>
    <row r="56" spans="2:6">
      <c r="B56" s="281"/>
      <c r="C56" s="293"/>
      <c r="D56" s="27"/>
    </row>
    <row r="57" spans="2:6">
      <c r="B57" s="281"/>
      <c r="C57" s="293"/>
    </row>
    <row r="60" spans="2:6">
      <c r="B60" s="281"/>
      <c r="C60" s="292"/>
      <c r="D60" s="27"/>
    </row>
    <row r="61" spans="2:6">
      <c r="B61" s="281"/>
      <c r="C61" s="292"/>
      <c r="D61" s="27"/>
    </row>
    <row r="62" spans="2:6">
      <c r="B62" s="281"/>
      <c r="C62" s="292"/>
      <c r="D62" s="27"/>
    </row>
    <row r="63" spans="2:6">
      <c r="B63" s="281"/>
      <c r="C63" s="292"/>
      <c r="D63" s="27"/>
    </row>
    <row r="64" spans="2:6">
      <c r="B64" s="281"/>
      <c r="C64" s="292"/>
      <c r="D64" s="27"/>
    </row>
    <row r="65" spans="2:4">
      <c r="B65" s="281"/>
      <c r="C65" s="292"/>
      <c r="D65" s="27"/>
    </row>
    <row r="66" spans="2:4">
      <c r="D66" s="27"/>
    </row>
    <row r="67" spans="2:4">
      <c r="C67" s="292"/>
      <c r="D67" s="294"/>
    </row>
    <row r="68" spans="2:4">
      <c r="C68" s="294"/>
      <c r="D68" s="292"/>
    </row>
  </sheetData>
  <mergeCells count="2">
    <mergeCell ref="G3:J3"/>
    <mergeCell ref="L3:O3"/>
  </mergeCells>
  <pageMargins left="0.75" right="0.75" top="1" bottom="1" header="0.3" footer="0.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7"/>
    <pageSetUpPr fitToPage="1"/>
  </sheetPr>
  <dimension ref="A1:Q57"/>
  <sheetViews>
    <sheetView showGridLines="0" workbookViewId="0">
      <pane xSplit="4" ySplit="6" topLeftCell="G7" activePane="bottomRight" state="frozen"/>
      <selection activeCell="K55" sqref="K55:V55"/>
      <selection pane="topRight" activeCell="K55" sqref="K55:V55"/>
      <selection pane="bottomLeft" activeCell="K55" sqref="K55:V55"/>
      <selection pane="bottomRight" activeCell="B1" sqref="B1:K57"/>
    </sheetView>
  </sheetViews>
  <sheetFormatPr baseColWidth="10" defaultColWidth="8.83203125" defaultRowHeight="13"/>
  <cols>
    <col min="1" max="1" width="0" hidden="1" customWidth="1"/>
    <col min="2" max="2" width="8.83203125" customWidth="1"/>
    <col min="3" max="3" width="6.83203125" customWidth="1"/>
    <col min="4" max="4" width="20.1640625" customWidth="1"/>
    <col min="5" max="5" width="10.33203125" style="1" hidden="1" customWidth="1"/>
    <col min="6" max="6" width="0" style="1" hidden="1" customWidth="1"/>
    <col min="7" max="11" width="9.1640625" style="1" customWidth="1"/>
    <col min="12" max="14" width="9.1640625" style="1" hidden="1" customWidth="1"/>
    <col min="15" max="15" width="1.6640625" style="1" customWidth="1"/>
    <col min="16" max="16" width="30" bestFit="1" customWidth="1"/>
  </cols>
  <sheetData>
    <row r="1" spans="1:15" ht="16">
      <c r="B1" s="684" t="s">
        <v>150</v>
      </c>
      <c r="C1" s="684"/>
      <c r="D1" s="684"/>
      <c r="E1" s="684"/>
      <c r="F1" s="684"/>
      <c r="G1" s="684"/>
      <c r="H1" s="684"/>
      <c r="I1" s="684"/>
      <c r="J1" s="684"/>
      <c r="K1" s="684"/>
      <c r="L1" s="8"/>
      <c r="M1" s="8"/>
      <c r="N1" s="8"/>
      <c r="O1" s="8"/>
    </row>
    <row r="2" spans="1:15" hidden="1"/>
    <row r="3" spans="1:15">
      <c r="C3" s="2"/>
      <c r="D3" s="2"/>
    </row>
    <row r="4" spans="1:15">
      <c r="B4" t="s">
        <v>1</v>
      </c>
      <c r="C4" s="2" t="s">
        <v>656</v>
      </c>
      <c r="D4" s="2"/>
    </row>
    <row r="6" spans="1:15">
      <c r="C6" s="2" t="s">
        <v>66</v>
      </c>
      <c r="E6" s="3" t="s">
        <v>2</v>
      </c>
      <c r="F6" s="3" t="s">
        <v>3</v>
      </c>
      <c r="G6" s="15" t="s">
        <v>333</v>
      </c>
      <c r="H6" s="15" t="s">
        <v>334</v>
      </c>
      <c r="I6" s="15" t="s">
        <v>335</v>
      </c>
      <c r="J6" s="15" t="s">
        <v>336</v>
      </c>
      <c r="K6" s="15" t="s">
        <v>337</v>
      </c>
      <c r="L6" s="3" t="s">
        <v>39</v>
      </c>
      <c r="M6" s="3" t="s">
        <v>40</v>
      </c>
      <c r="N6" s="3" t="s">
        <v>41</v>
      </c>
      <c r="O6" s="3"/>
    </row>
    <row r="7" spans="1:15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37">
        <f t="shared" si="0"/>
        <v>0</v>
      </c>
      <c r="H8" s="37">
        <f t="shared" si="0"/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</row>
    <row r="9" spans="1:15" ht="12.75" hidden="1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2.75" hidden="1" customHeight="1">
      <c r="A10" s="11"/>
      <c r="C10" s="5" t="s">
        <v>20</v>
      </c>
      <c r="D10" s="5"/>
      <c r="E10" s="6"/>
      <c r="F10" s="6"/>
      <c r="G10" s="271"/>
      <c r="H10" s="271"/>
      <c r="I10" s="271"/>
      <c r="J10" s="271"/>
      <c r="K10" s="271"/>
      <c r="L10" s="6"/>
      <c r="M10" s="6"/>
      <c r="N10" s="6"/>
      <c r="O10" s="6"/>
    </row>
    <row r="11" spans="1:15" ht="12.75" hidden="1" customHeight="1">
      <c r="A11" s="11"/>
      <c r="C11" s="5" t="s">
        <v>21</v>
      </c>
      <c r="D11" s="5"/>
      <c r="E11" s="6"/>
      <c r="F11" s="6"/>
      <c r="G11" s="271"/>
      <c r="H11" s="271"/>
      <c r="I11" s="271"/>
      <c r="J11" s="271"/>
      <c r="K11" s="271"/>
      <c r="L11" s="6"/>
      <c r="M11" s="6"/>
      <c r="N11" s="6"/>
      <c r="O11" s="6"/>
    </row>
    <row r="12" spans="1:15" ht="12.75" hidden="1" customHeight="1">
      <c r="A12" s="11"/>
      <c r="C12" s="5" t="s">
        <v>22</v>
      </c>
      <c r="D12" s="5"/>
      <c r="E12" s="6"/>
      <c r="F12" s="6"/>
      <c r="G12" s="271"/>
      <c r="H12" s="271"/>
      <c r="I12" s="271"/>
      <c r="J12" s="271"/>
      <c r="K12" s="271"/>
      <c r="L12" s="6"/>
      <c r="M12" s="6"/>
      <c r="N12" s="6"/>
      <c r="O12" s="6"/>
    </row>
    <row r="13" spans="1:15" ht="12.75" hidden="1" customHeight="1">
      <c r="A13" s="11"/>
      <c r="C13" s="5" t="s">
        <v>23</v>
      </c>
      <c r="D13" s="5"/>
      <c r="E13" s="6"/>
      <c r="F13" s="6"/>
      <c r="G13" s="271"/>
      <c r="H13" s="271"/>
      <c r="I13" s="271"/>
      <c r="J13" s="271"/>
      <c r="K13" s="271"/>
      <c r="L13" s="6"/>
      <c r="M13" s="6"/>
      <c r="N13" s="6"/>
      <c r="O13" s="6"/>
    </row>
    <row r="14" spans="1:15" ht="12.75" hidden="1" customHeight="1">
      <c r="A14" s="11"/>
      <c r="C14" s="5" t="s">
        <v>24</v>
      </c>
      <c r="D14" s="5"/>
      <c r="E14" s="6"/>
      <c r="F14" s="6"/>
      <c r="G14" s="271"/>
      <c r="H14" s="271"/>
      <c r="I14" s="271"/>
      <c r="J14" s="271"/>
      <c r="K14" s="271"/>
      <c r="L14" s="6"/>
      <c r="M14" s="6"/>
      <c r="N14" s="6"/>
      <c r="O14" s="6"/>
    </row>
    <row r="15" spans="1:15" ht="12.75" hidden="1" customHeight="1">
      <c r="A15" s="11"/>
      <c r="C15" s="5" t="s">
        <v>104</v>
      </c>
      <c r="D15" s="5"/>
      <c r="E15" s="6"/>
      <c r="F15" s="6"/>
      <c r="G15" s="271"/>
      <c r="H15" s="271"/>
      <c r="I15" s="271"/>
      <c r="J15" s="271"/>
      <c r="K15" s="271"/>
      <c r="L15" s="6"/>
      <c r="M15" s="6"/>
      <c r="N15" s="6"/>
      <c r="O15" s="6"/>
    </row>
    <row r="16" spans="1:15" ht="12.75" hidden="1" customHeight="1">
      <c r="A16" s="11"/>
      <c r="C16" s="5" t="s">
        <v>7</v>
      </c>
      <c r="D16" s="5"/>
      <c r="E16" s="6"/>
      <c r="F16" s="6"/>
      <c r="G16" s="271"/>
      <c r="H16" s="271"/>
      <c r="I16" s="271"/>
      <c r="J16" s="271"/>
      <c r="K16" s="271"/>
      <c r="L16" s="6"/>
      <c r="M16" s="6"/>
      <c r="N16" s="6"/>
      <c r="O16" s="6"/>
    </row>
    <row r="17" spans="1:16" ht="12.75" hidden="1" customHeight="1">
      <c r="A17" s="11"/>
      <c r="C17" s="5" t="s">
        <v>34</v>
      </c>
      <c r="D17" s="5"/>
      <c r="E17" s="6"/>
      <c r="F17" s="6"/>
      <c r="G17" s="271"/>
      <c r="H17" s="271"/>
      <c r="I17" s="271"/>
      <c r="J17" s="271"/>
      <c r="K17" s="271"/>
      <c r="L17" s="6"/>
      <c r="M17" s="6"/>
      <c r="N17" s="6"/>
      <c r="O17" s="6"/>
    </row>
    <row r="18" spans="1:16" ht="6" customHeight="1">
      <c r="A18" s="11"/>
      <c r="G18" s="271"/>
      <c r="H18" s="271"/>
      <c r="I18" s="271"/>
      <c r="J18" s="271"/>
      <c r="K18" s="271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37">
        <f t="shared" si="1"/>
        <v>-2000</v>
      </c>
      <c r="H19" s="37">
        <f t="shared" si="1"/>
        <v>-2044.6</v>
      </c>
      <c r="I19" s="37">
        <f t="shared" si="1"/>
        <v>-2090.2569999999996</v>
      </c>
      <c r="J19" s="37">
        <f t="shared" si="1"/>
        <v>-2136.9962649999993</v>
      </c>
      <c r="K19" s="37">
        <f>SUM(K20:K27)</f>
        <v>-2184.8436684249991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</row>
    <row r="20" spans="1:16" ht="15" customHeight="1">
      <c r="A20" s="11"/>
      <c r="C20" s="261" t="s">
        <v>25</v>
      </c>
      <c r="D20" s="261"/>
      <c r="E20" s="262"/>
      <c r="F20" s="262"/>
      <c r="G20" s="263">
        <v>-580</v>
      </c>
      <c r="H20" s="263">
        <f>G20*1.02</f>
        <v>-591.6</v>
      </c>
      <c r="I20" s="263">
        <f>H20*1.02</f>
        <v>-603.43200000000002</v>
      </c>
      <c r="J20" s="263">
        <f>I20*1.02</f>
        <v>-615.50063999999998</v>
      </c>
      <c r="K20" s="263">
        <f>J20*1.02</f>
        <v>-627.81065279999996</v>
      </c>
      <c r="L20" s="6"/>
      <c r="M20" s="6"/>
      <c r="N20" s="6"/>
      <c r="O20" s="6"/>
      <c r="P20" s="5" t="s">
        <v>107</v>
      </c>
    </row>
    <row r="21" spans="1:16" ht="15" customHeight="1">
      <c r="A21" s="11"/>
      <c r="C21" s="264" t="s">
        <v>161</v>
      </c>
      <c r="D21" s="264"/>
      <c r="E21" s="265"/>
      <c r="F21" s="265"/>
      <c r="G21" s="266">
        <v>-1300</v>
      </c>
      <c r="H21" s="266">
        <f>G21*1.025</f>
        <v>-1332.4999999999998</v>
      </c>
      <c r="I21" s="266">
        <f>H21*1.025</f>
        <v>-1365.8124999999995</v>
      </c>
      <c r="J21" s="266">
        <f>I21*1.025</f>
        <v>-1399.9578124999994</v>
      </c>
      <c r="K21" s="266">
        <f>J21*1.025</f>
        <v>-1434.9567578124993</v>
      </c>
      <c r="L21" s="6"/>
      <c r="M21" s="6"/>
      <c r="N21" s="6"/>
      <c r="O21" s="6"/>
      <c r="P21" s="5" t="s">
        <v>103</v>
      </c>
    </row>
    <row r="22" spans="1:16" ht="15" customHeight="1">
      <c r="A22" s="11"/>
      <c r="C22" s="264" t="s">
        <v>9</v>
      </c>
      <c r="D22" s="264"/>
      <c r="E22" s="265"/>
      <c r="F22" s="265"/>
      <c r="G22" s="266">
        <v>-100</v>
      </c>
      <c r="H22" s="266">
        <f>G22</f>
        <v>-100</v>
      </c>
      <c r="I22" s="266">
        <f>H22</f>
        <v>-100</v>
      </c>
      <c r="J22" s="266">
        <f>I22</f>
        <v>-100</v>
      </c>
      <c r="K22" s="266">
        <f>J22</f>
        <v>-100</v>
      </c>
      <c r="L22" s="6"/>
      <c r="M22" s="6"/>
      <c r="N22" s="6"/>
      <c r="O22" s="6"/>
      <c r="P22" s="5"/>
    </row>
    <row r="23" spans="1:16" ht="12.75" hidden="1" customHeight="1">
      <c r="A23" s="11"/>
      <c r="C23" s="264" t="s">
        <v>27</v>
      </c>
      <c r="D23" s="264"/>
      <c r="E23" s="265"/>
      <c r="F23" s="265"/>
      <c r="G23" s="266"/>
      <c r="H23" s="266"/>
      <c r="I23" s="266"/>
      <c r="J23" s="266"/>
      <c r="K23" s="266"/>
      <c r="L23" s="6"/>
      <c r="M23" s="6"/>
      <c r="N23" s="6"/>
      <c r="O23" s="6"/>
      <c r="P23" s="5"/>
    </row>
    <row r="24" spans="1:16" ht="12.75" hidden="1" customHeight="1">
      <c r="A24" s="11"/>
      <c r="C24" s="264" t="s">
        <v>21</v>
      </c>
      <c r="D24" s="264"/>
      <c r="E24" s="265"/>
      <c r="F24" s="265"/>
      <c r="G24" s="266"/>
      <c r="H24" s="266"/>
      <c r="I24" s="266"/>
      <c r="J24" s="266"/>
      <c r="K24" s="266"/>
      <c r="L24" s="6"/>
      <c r="M24" s="6"/>
      <c r="N24" s="6"/>
      <c r="O24" s="6"/>
      <c r="P24" s="5"/>
    </row>
    <row r="25" spans="1:16" ht="12.75" hidden="1" customHeight="1">
      <c r="A25" s="11"/>
      <c r="C25" s="264" t="s">
        <v>19</v>
      </c>
      <c r="D25" s="264"/>
      <c r="E25" s="265"/>
      <c r="F25" s="265"/>
      <c r="G25" s="266"/>
      <c r="H25" s="266"/>
      <c r="I25" s="266"/>
      <c r="J25" s="266"/>
      <c r="K25" s="266"/>
      <c r="L25" s="6"/>
      <c r="M25" s="6"/>
      <c r="N25" s="6"/>
      <c r="O25" s="6"/>
      <c r="P25" s="5"/>
    </row>
    <row r="26" spans="1:16" ht="15" customHeight="1">
      <c r="A26" s="11"/>
      <c r="C26" s="267" t="s">
        <v>382</v>
      </c>
      <c r="D26" s="267"/>
      <c r="E26" s="268"/>
      <c r="F26" s="268"/>
      <c r="G26" s="269">
        <v>-20</v>
      </c>
      <c r="H26" s="269">
        <f>G26*1.025</f>
        <v>-20.5</v>
      </c>
      <c r="I26" s="269">
        <f>H26*1.025</f>
        <v>-21.012499999999999</v>
      </c>
      <c r="J26" s="269">
        <f>I26*1.025</f>
        <v>-21.537812499999998</v>
      </c>
      <c r="K26" s="269">
        <f>J26*1.025</f>
        <v>-22.076257812499996</v>
      </c>
      <c r="L26" s="6"/>
      <c r="M26" s="6"/>
      <c r="N26" s="6"/>
      <c r="O26" s="6"/>
      <c r="P26" s="5" t="s">
        <v>106</v>
      </c>
    </row>
    <row r="27" spans="1:16" ht="15" hidden="1" customHeight="1">
      <c r="A27" s="11"/>
      <c r="C27" t="s">
        <v>10</v>
      </c>
      <c r="G27" s="214"/>
      <c r="H27" s="214"/>
      <c r="I27" s="214"/>
      <c r="J27" s="214"/>
      <c r="K27" s="214"/>
      <c r="L27" s="6"/>
      <c r="M27" s="6"/>
      <c r="N27" s="6"/>
      <c r="O27" s="6"/>
    </row>
    <row r="28" spans="1:16" ht="6" customHeight="1">
      <c r="A28" s="11"/>
      <c r="G28" s="214"/>
      <c r="H28" s="214"/>
      <c r="I28" s="214"/>
      <c r="J28" s="214"/>
      <c r="K28" s="214"/>
    </row>
    <row r="29" spans="1:16" ht="16" hidden="1">
      <c r="A29" s="11" t="s">
        <v>36</v>
      </c>
      <c r="G29" s="214"/>
      <c r="H29" s="214"/>
      <c r="I29" s="214"/>
      <c r="J29" s="214"/>
      <c r="K29" s="214"/>
    </row>
    <row r="30" spans="1:16" hidden="1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37">
        <f t="shared" si="2"/>
        <v>0</v>
      </c>
      <c r="H30" s="37">
        <f t="shared" si="2"/>
        <v>0</v>
      </c>
      <c r="I30" s="37">
        <f t="shared" si="2"/>
        <v>0</v>
      </c>
      <c r="J30" s="37">
        <f t="shared" si="2"/>
        <v>0</v>
      </c>
      <c r="K30" s="37">
        <f>SUM(K31:K39)</f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 hidden="1">
      <c r="C31" s="7" t="s">
        <v>19</v>
      </c>
      <c r="D31" s="5"/>
      <c r="E31" s="6"/>
      <c r="F31" s="6"/>
      <c r="G31" s="214"/>
      <c r="H31" s="214"/>
      <c r="I31" s="214"/>
      <c r="J31" s="214"/>
      <c r="K31" s="214"/>
      <c r="L31" s="6"/>
      <c r="M31" s="6"/>
      <c r="N31" s="6"/>
      <c r="O31" s="6"/>
      <c r="P31" s="5"/>
    </row>
    <row r="32" spans="1:16" hidden="1">
      <c r="C32" s="5" t="s">
        <v>20</v>
      </c>
      <c r="D32" s="5"/>
      <c r="E32" s="6"/>
      <c r="F32" s="6"/>
      <c r="G32" s="214"/>
      <c r="H32" s="214"/>
      <c r="I32" s="214"/>
      <c r="J32" s="214"/>
      <c r="K32" s="214"/>
      <c r="L32" s="6"/>
      <c r="M32" s="6"/>
      <c r="N32" s="6"/>
      <c r="O32" s="6"/>
      <c r="P32" s="5"/>
    </row>
    <row r="33" spans="2:16" hidden="1">
      <c r="C33" s="5" t="s">
        <v>21</v>
      </c>
      <c r="D33" s="5"/>
      <c r="E33" s="6"/>
      <c r="F33" s="6"/>
      <c r="G33" s="214"/>
      <c r="H33" s="214"/>
      <c r="I33" s="214"/>
      <c r="J33" s="214"/>
      <c r="K33" s="214"/>
      <c r="L33" s="6"/>
      <c r="M33" s="6"/>
      <c r="N33" s="6"/>
      <c r="O33" s="6"/>
      <c r="P33" s="5"/>
    </row>
    <row r="34" spans="2:16" hidden="1">
      <c r="C34" s="5" t="s">
        <v>22</v>
      </c>
      <c r="D34" s="5"/>
      <c r="E34" s="6"/>
      <c r="F34" s="6"/>
      <c r="G34" s="214"/>
      <c r="H34" s="214"/>
      <c r="I34" s="214"/>
      <c r="J34" s="214"/>
      <c r="K34" s="214"/>
      <c r="L34" s="6"/>
      <c r="M34" s="6"/>
      <c r="N34" s="6"/>
      <c r="O34" s="6"/>
      <c r="P34" s="5"/>
    </row>
    <row r="35" spans="2:16" hidden="1">
      <c r="C35" s="5" t="s">
        <v>23</v>
      </c>
      <c r="D35" s="5"/>
      <c r="E35" s="6"/>
      <c r="F35" s="6"/>
      <c r="G35" s="214"/>
      <c r="H35" s="214"/>
      <c r="I35" s="214"/>
      <c r="J35" s="214"/>
      <c r="K35" s="214"/>
      <c r="L35" s="6"/>
      <c r="M35" s="6"/>
      <c r="N35" s="6"/>
      <c r="O35" s="6"/>
      <c r="P35" s="5"/>
    </row>
    <row r="36" spans="2:16" hidden="1">
      <c r="C36" s="5" t="s">
        <v>24</v>
      </c>
      <c r="D36" s="5"/>
      <c r="E36" s="6"/>
      <c r="F36" s="6"/>
      <c r="G36" s="214"/>
      <c r="H36" s="214"/>
      <c r="I36" s="214"/>
      <c r="J36" s="214"/>
      <c r="K36" s="214"/>
      <c r="L36" s="6"/>
      <c r="M36" s="6"/>
      <c r="N36" s="6"/>
      <c r="O36" s="6"/>
      <c r="P36" s="5"/>
    </row>
    <row r="37" spans="2:16" hidden="1">
      <c r="C37" s="5" t="s">
        <v>104</v>
      </c>
      <c r="D37" s="5"/>
      <c r="E37" s="6"/>
      <c r="F37" s="6"/>
      <c r="G37" s="214"/>
      <c r="H37" s="214"/>
      <c r="I37" s="214"/>
      <c r="J37" s="214"/>
      <c r="K37" s="214"/>
      <c r="L37" s="6"/>
      <c r="M37" s="6"/>
      <c r="N37" s="6"/>
      <c r="O37" s="6"/>
      <c r="P37" s="5"/>
    </row>
    <row r="38" spans="2:16" hidden="1">
      <c r="C38" s="5" t="s">
        <v>7</v>
      </c>
      <c r="D38" s="5"/>
      <c r="E38" s="6"/>
      <c r="F38" s="6"/>
      <c r="G38" s="214"/>
      <c r="H38" s="214"/>
      <c r="I38" s="214"/>
      <c r="J38" s="214"/>
      <c r="K38" s="214"/>
      <c r="L38" s="6"/>
      <c r="M38" s="6"/>
      <c r="N38" s="6"/>
      <c r="O38" s="6"/>
      <c r="P38" s="5"/>
    </row>
    <row r="39" spans="2:16" hidden="1">
      <c r="C39" s="5" t="s">
        <v>34</v>
      </c>
      <c r="D39" s="5"/>
      <c r="E39" s="6"/>
      <c r="F39" s="6"/>
      <c r="G39" s="214"/>
      <c r="H39" s="214"/>
      <c r="I39" s="214"/>
      <c r="J39" s="214"/>
      <c r="K39" s="214"/>
      <c r="L39" s="6"/>
      <c r="M39" s="6"/>
      <c r="N39" s="6"/>
      <c r="O39" s="6"/>
      <c r="P39" s="5"/>
    </row>
    <row r="40" spans="2:16" hidden="1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37">
        <f t="shared" si="3"/>
        <v>0</v>
      </c>
      <c r="H40" s="37">
        <f t="shared" si="3"/>
        <v>0</v>
      </c>
      <c r="I40" s="37">
        <f t="shared" si="3"/>
        <v>0</v>
      </c>
      <c r="J40" s="37">
        <f t="shared" si="3"/>
        <v>0</v>
      </c>
      <c r="K40" s="37">
        <f>SUM(K41:K48)</f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 hidden="1">
      <c r="C41" s="5" t="s">
        <v>25</v>
      </c>
      <c r="D41" s="5"/>
      <c r="E41" s="6"/>
      <c r="F41" s="6"/>
      <c r="G41" s="214"/>
      <c r="H41" s="214"/>
      <c r="I41" s="214"/>
      <c r="J41" s="214"/>
      <c r="K41" s="214"/>
      <c r="L41" s="6"/>
      <c r="M41" s="6"/>
      <c r="N41" s="6"/>
      <c r="O41" s="6"/>
      <c r="P41" s="5"/>
    </row>
    <row r="42" spans="2:16" hidden="1">
      <c r="C42" s="5" t="s">
        <v>26</v>
      </c>
      <c r="F42" s="6"/>
      <c r="G42" s="214"/>
      <c r="H42" s="214"/>
      <c r="I42" s="214"/>
      <c r="J42" s="214"/>
      <c r="K42" s="214"/>
      <c r="P42" s="5"/>
    </row>
    <row r="43" spans="2:16" hidden="1">
      <c r="C43" s="5" t="s">
        <v>9</v>
      </c>
      <c r="F43" s="6"/>
      <c r="G43" s="214"/>
      <c r="H43" s="214"/>
      <c r="I43" s="214"/>
      <c r="J43" s="214"/>
      <c r="K43" s="214"/>
      <c r="P43" s="5"/>
    </row>
    <row r="44" spans="2:16" hidden="1">
      <c r="C44" s="5" t="s">
        <v>27</v>
      </c>
      <c r="F44" s="6"/>
      <c r="G44" s="214"/>
      <c r="H44" s="214"/>
      <c r="I44" s="214"/>
      <c r="J44" s="214"/>
      <c r="K44" s="214"/>
      <c r="P44" s="5"/>
    </row>
    <row r="45" spans="2:16" hidden="1">
      <c r="C45" s="5" t="s">
        <v>21</v>
      </c>
      <c r="F45" s="6"/>
      <c r="G45" s="214"/>
      <c r="H45" s="214"/>
      <c r="I45" s="214"/>
      <c r="J45" s="214"/>
      <c r="K45" s="214"/>
      <c r="P45" s="5"/>
    </row>
    <row r="46" spans="2:16" hidden="1">
      <c r="C46" s="5" t="s">
        <v>19</v>
      </c>
      <c r="F46" s="6"/>
      <c r="G46" s="214"/>
      <c r="H46" s="214"/>
      <c r="I46" s="214"/>
      <c r="J46" s="214"/>
      <c r="K46" s="214"/>
      <c r="P46" s="5"/>
    </row>
    <row r="47" spans="2:16" hidden="1">
      <c r="C47" s="5" t="s">
        <v>105</v>
      </c>
      <c r="F47" s="6"/>
      <c r="G47" s="214"/>
      <c r="H47" s="214"/>
      <c r="I47" s="214"/>
      <c r="J47" s="214"/>
      <c r="K47" s="214"/>
      <c r="P47" s="5"/>
    </row>
    <row r="48" spans="2:16" hidden="1">
      <c r="C48" s="5" t="s">
        <v>10</v>
      </c>
      <c r="F48" s="6"/>
      <c r="G48" s="214"/>
      <c r="H48" s="214"/>
      <c r="I48" s="214"/>
      <c r="J48" s="214"/>
      <c r="K48" s="214"/>
      <c r="P48" s="5"/>
    </row>
    <row r="49" spans="2:17" ht="6" customHeight="1">
      <c r="C49" s="5"/>
      <c r="G49" s="214"/>
      <c r="H49" s="214"/>
      <c r="I49" s="214"/>
      <c r="J49" s="214"/>
      <c r="K49" s="214"/>
      <c r="P49" s="5"/>
    </row>
    <row r="50" spans="2:17">
      <c r="B50" s="2" t="s">
        <v>436</v>
      </c>
      <c r="E50" s="4">
        <f t="shared" ref="E50:N50" si="4">E19-E8+E40-E30</f>
        <v>0</v>
      </c>
      <c r="F50" s="4">
        <f t="shared" si="4"/>
        <v>0</v>
      </c>
      <c r="G50" s="37">
        <f t="shared" si="4"/>
        <v>-2000</v>
      </c>
      <c r="H50" s="37">
        <f t="shared" si="4"/>
        <v>-2044.6</v>
      </c>
      <c r="I50" s="37">
        <f t="shared" si="4"/>
        <v>-2090.2569999999996</v>
      </c>
      <c r="J50" s="37">
        <f t="shared" si="4"/>
        <v>-2136.9962649999993</v>
      </c>
      <c r="K50" s="37">
        <f>K19-K8+K40-K30</f>
        <v>-2184.8436684249991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/>
      <c r="Q50" s="13">
        <f>SUM(G50:K50)</f>
        <v>-10456.696933424999</v>
      </c>
    </row>
    <row r="51" spans="2:17" ht="6" customHeight="1">
      <c r="G51" s="214"/>
      <c r="H51" s="214"/>
      <c r="I51" s="214"/>
      <c r="J51" s="214"/>
      <c r="K51" s="214"/>
      <c r="P51" s="5"/>
    </row>
    <row r="52" spans="2:17">
      <c r="B52" t="s">
        <v>12</v>
      </c>
      <c r="C52" s="234" t="s">
        <v>9</v>
      </c>
      <c r="D52" s="234"/>
      <c r="E52" s="296">
        <f t="shared" ref="E52:N52" si="5">-E22-E43</f>
        <v>0</v>
      </c>
      <c r="F52" s="296">
        <f t="shared" si="5"/>
        <v>0</v>
      </c>
      <c r="G52" s="297">
        <f t="shared" si="5"/>
        <v>100</v>
      </c>
      <c r="H52" s="297">
        <f t="shared" si="5"/>
        <v>100</v>
      </c>
      <c r="I52" s="297">
        <f t="shared" si="5"/>
        <v>100</v>
      </c>
      <c r="J52" s="297">
        <f t="shared" si="5"/>
        <v>100</v>
      </c>
      <c r="K52" s="297">
        <f>-K22-K43</f>
        <v>100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/>
    </row>
    <row r="53" spans="2:17">
      <c r="B53" t="s">
        <v>14</v>
      </c>
      <c r="C53" t="s">
        <v>15</v>
      </c>
      <c r="E53" s="6"/>
      <c r="F53" s="6"/>
      <c r="G53" s="295" t="e">
        <f>'assumptions completed'!#REF!/1000</f>
        <v>#REF!</v>
      </c>
      <c r="H53" s="295">
        <v>0</v>
      </c>
      <c r="I53" s="295">
        <v>0</v>
      </c>
      <c r="J53" s="295">
        <v>0</v>
      </c>
      <c r="K53" s="295">
        <v>0</v>
      </c>
      <c r="L53" s="6"/>
      <c r="M53" s="6"/>
      <c r="N53" s="6"/>
      <c r="O53" s="6"/>
      <c r="P53" s="5"/>
    </row>
    <row r="54" spans="2:17" ht="6" customHeight="1">
      <c r="G54" s="214"/>
      <c r="H54" s="214"/>
      <c r="I54" s="214"/>
      <c r="J54" s="214"/>
      <c r="K54" s="214"/>
      <c r="P54" s="5"/>
    </row>
    <row r="55" spans="2:17">
      <c r="B55" s="2" t="s">
        <v>426</v>
      </c>
      <c r="E55" s="4">
        <f t="shared" ref="E55:N55" si="6">E50+E52+E53</f>
        <v>0</v>
      </c>
      <c r="F55" s="4">
        <f t="shared" si="6"/>
        <v>0</v>
      </c>
      <c r="G55" s="37" t="e">
        <f t="shared" si="6"/>
        <v>#REF!</v>
      </c>
      <c r="H55" s="37">
        <f t="shared" si="6"/>
        <v>-1944.6</v>
      </c>
      <c r="I55" s="37">
        <f t="shared" si="6"/>
        <v>-1990.2569999999996</v>
      </c>
      <c r="J55" s="37">
        <f t="shared" si="6"/>
        <v>-2036.9962649999993</v>
      </c>
      <c r="K55" s="37">
        <f>K50+K52+K53</f>
        <v>-2084.8436684249991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/>
    </row>
    <row r="56" spans="2:17" ht="6" customHeight="1">
      <c r="G56" s="214"/>
      <c r="H56" s="214"/>
      <c r="I56" s="214"/>
      <c r="J56" s="214"/>
      <c r="K56" s="214"/>
    </row>
    <row r="57" spans="2:17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37" t="e">
        <f t="shared" si="7"/>
        <v>#REF!</v>
      </c>
      <c r="H57" s="37">
        <f t="shared" si="7"/>
        <v>-1944.6</v>
      </c>
      <c r="I57" s="37">
        <f t="shared" si="7"/>
        <v>-1990.2569999999996</v>
      </c>
      <c r="J57" s="37">
        <f t="shared" si="7"/>
        <v>-2036.9962649999993</v>
      </c>
      <c r="K57" s="37">
        <f>K19+K52+K53+K40</f>
        <v>-2084.8436684249991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</sheetData>
  <mergeCells count="1">
    <mergeCell ref="B1:K1"/>
  </mergeCells>
  <phoneticPr fontId="4" type="noConversion"/>
  <pageMargins left="0.75" right="0.75" top="1" bottom="1" header="0.5" footer="0.5"/>
  <pageSetup paperSize="9" scale="68" orientation="portrait" horizontalDpi="4294967293" verticalDpi="4294967293"/>
  <headerFooter alignWithMargins="0">
    <oddFooter>&amp;L&amp;"Arial,Bold"&amp;12&amp;F&amp;C&amp;A&amp;R&amp;D&amp;T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56"/>
  <sheetViews>
    <sheetView showGridLines="0" workbookViewId="0">
      <pane xSplit="4" ySplit="5" topLeftCell="G6" activePane="bottomRight" state="frozen"/>
      <selection activeCell="K55" sqref="K55:V55"/>
      <selection pane="topRight" activeCell="K55" sqref="K55:V55"/>
      <selection pane="bottomLeft" activeCell="K55" sqref="K55:V55"/>
      <selection pane="bottomRight" sqref="A1:K56"/>
    </sheetView>
  </sheetViews>
  <sheetFormatPr baseColWidth="10" defaultColWidth="8.83203125" defaultRowHeight="13"/>
  <cols>
    <col min="1" max="1" width="3.33203125" customWidth="1"/>
    <col min="2" max="2" width="7.5" customWidth="1"/>
    <col min="3" max="3" width="6.83203125" customWidth="1"/>
    <col min="4" max="4" width="20.1640625" customWidth="1"/>
    <col min="5" max="5" width="10.33203125" style="1" hidden="1" customWidth="1"/>
    <col min="6" max="6" width="0" style="1" hidden="1" customWidth="1"/>
    <col min="7" max="11" width="9.1640625" style="21" customWidth="1"/>
    <col min="12" max="14" width="9.1640625" style="1" hidden="1" customWidth="1"/>
    <col min="15" max="15" width="3.6640625" style="1" customWidth="1"/>
    <col min="16" max="16" width="34.6640625" bestFit="1" customWidth="1"/>
  </cols>
  <sheetData>
    <row r="1" spans="1:15" ht="16">
      <c r="A1" s="684" t="s">
        <v>148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8"/>
      <c r="M1" s="8"/>
      <c r="N1" s="8"/>
      <c r="O1" s="8"/>
    </row>
    <row r="2" spans="1:15">
      <c r="C2" s="2"/>
      <c r="D2" s="2"/>
    </row>
    <row r="3" spans="1:15">
      <c r="B3" t="s">
        <v>1</v>
      </c>
      <c r="C3" s="2" t="s">
        <v>656</v>
      </c>
      <c r="D3" s="2"/>
    </row>
    <row r="5" spans="1:15">
      <c r="C5" s="2" t="s">
        <v>66</v>
      </c>
      <c r="E5" s="3" t="s">
        <v>2</v>
      </c>
      <c r="F5" s="3" t="s">
        <v>3</v>
      </c>
      <c r="G5" s="15" t="s">
        <v>333</v>
      </c>
      <c r="H5" s="15" t="s">
        <v>334</v>
      </c>
      <c r="I5" s="15" t="s">
        <v>335</v>
      </c>
      <c r="J5" s="15" t="s">
        <v>336</v>
      </c>
      <c r="K5" s="15" t="s">
        <v>337</v>
      </c>
      <c r="L5" s="3" t="s">
        <v>39</v>
      </c>
      <c r="M5" s="3" t="s">
        <v>40</v>
      </c>
      <c r="N5" s="3" t="s">
        <v>41</v>
      </c>
      <c r="O5" s="3"/>
    </row>
    <row r="6" spans="1:15" ht="16">
      <c r="A6" s="11"/>
      <c r="E6" s="3"/>
      <c r="F6" s="3"/>
      <c r="G6" s="15"/>
      <c r="H6" s="15"/>
      <c r="I6" s="15"/>
      <c r="J6" s="15"/>
      <c r="K6" s="15"/>
      <c r="L6" s="3"/>
      <c r="M6" s="3"/>
      <c r="N6" s="3"/>
      <c r="O6" s="3"/>
    </row>
    <row r="7" spans="1:15" ht="12.75" customHeight="1">
      <c r="A7" s="11"/>
      <c r="B7" s="2" t="s">
        <v>6</v>
      </c>
      <c r="C7" s="2"/>
      <c r="D7" s="2"/>
      <c r="E7" s="4">
        <f t="shared" ref="E7:N7" si="0">SUM(E8:E16)</f>
        <v>0</v>
      </c>
      <c r="F7" s="4">
        <f t="shared" si="0"/>
        <v>0</v>
      </c>
      <c r="G7" s="37">
        <f t="shared" si="0"/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/>
    </row>
    <row r="8" spans="1:15" ht="12.75" hidden="1" customHeight="1">
      <c r="A8" s="11"/>
      <c r="B8" s="2"/>
      <c r="C8" s="7" t="s">
        <v>19</v>
      </c>
      <c r="D8" s="2"/>
      <c r="E8" s="4"/>
      <c r="F8" s="4"/>
      <c r="G8" s="37"/>
      <c r="H8" s="37"/>
      <c r="I8" s="37"/>
      <c r="J8" s="37"/>
      <c r="K8" s="37"/>
      <c r="L8" s="4"/>
      <c r="M8" s="4"/>
      <c r="N8" s="4"/>
      <c r="O8" s="4"/>
    </row>
    <row r="9" spans="1:15" ht="12.75" hidden="1" customHeight="1">
      <c r="A9" s="11"/>
      <c r="C9" s="5" t="s">
        <v>20</v>
      </c>
      <c r="D9" s="5"/>
      <c r="E9" s="6"/>
      <c r="F9" s="6"/>
      <c r="G9" s="28"/>
      <c r="H9" s="28"/>
      <c r="I9" s="28"/>
      <c r="J9" s="28"/>
      <c r="K9" s="28"/>
      <c r="L9" s="6"/>
      <c r="M9" s="6"/>
      <c r="N9" s="6"/>
      <c r="O9" s="6"/>
    </row>
    <row r="10" spans="1:15" ht="12.75" hidden="1" customHeight="1">
      <c r="A10" s="11"/>
      <c r="C10" s="5" t="s">
        <v>21</v>
      </c>
      <c r="D10" s="5"/>
      <c r="E10" s="6"/>
      <c r="F10" s="6"/>
      <c r="G10" s="28"/>
      <c r="H10" s="28"/>
      <c r="I10" s="28"/>
      <c r="J10" s="28"/>
      <c r="K10" s="28"/>
      <c r="L10" s="6"/>
      <c r="M10" s="6"/>
      <c r="N10" s="6"/>
      <c r="O10" s="6"/>
    </row>
    <row r="11" spans="1:15" ht="12.75" hidden="1" customHeight="1">
      <c r="A11" s="11"/>
      <c r="C11" s="5" t="s">
        <v>22</v>
      </c>
      <c r="D11" s="5"/>
      <c r="E11" s="6"/>
      <c r="F11" s="6"/>
      <c r="G11" s="28"/>
      <c r="H11" s="28"/>
      <c r="I11" s="28"/>
      <c r="J11" s="28"/>
      <c r="K11" s="28"/>
      <c r="L11" s="6"/>
      <c r="M11" s="6"/>
      <c r="N11" s="6"/>
      <c r="O11" s="6"/>
    </row>
    <row r="12" spans="1:15" ht="12.75" hidden="1" customHeight="1">
      <c r="A12" s="11"/>
      <c r="C12" s="5" t="s">
        <v>23</v>
      </c>
      <c r="D12" s="5"/>
      <c r="E12" s="6"/>
      <c r="F12" s="6"/>
      <c r="G12" s="28"/>
      <c r="H12" s="28"/>
      <c r="I12" s="28"/>
      <c r="J12" s="28"/>
      <c r="K12" s="28"/>
      <c r="L12" s="6"/>
      <c r="M12" s="6"/>
      <c r="N12" s="6"/>
      <c r="O12" s="6"/>
    </row>
    <row r="13" spans="1:15" ht="12.75" hidden="1" customHeight="1">
      <c r="A13" s="11"/>
      <c r="C13" s="5" t="s">
        <v>24</v>
      </c>
      <c r="D13" s="5"/>
      <c r="E13" s="6"/>
      <c r="F13" s="6"/>
      <c r="G13" s="28"/>
      <c r="H13" s="28"/>
      <c r="I13" s="28"/>
      <c r="J13" s="28"/>
      <c r="K13" s="28"/>
      <c r="L13" s="6"/>
      <c r="M13" s="6"/>
      <c r="N13" s="6"/>
      <c r="O13" s="6"/>
    </row>
    <row r="14" spans="1:15" ht="12.75" hidden="1" customHeight="1">
      <c r="A14" s="11"/>
      <c r="C14" s="5" t="s">
        <v>104</v>
      </c>
      <c r="D14" s="5"/>
      <c r="E14" s="6"/>
      <c r="F14" s="6"/>
      <c r="G14" s="28"/>
      <c r="H14" s="28"/>
      <c r="I14" s="28"/>
      <c r="J14" s="28"/>
      <c r="K14" s="28"/>
      <c r="L14" s="6"/>
      <c r="M14" s="6"/>
      <c r="N14" s="6"/>
      <c r="O14" s="6"/>
    </row>
    <row r="15" spans="1:15" ht="12.75" hidden="1" customHeight="1">
      <c r="A15" s="11"/>
      <c r="C15" s="5" t="s">
        <v>7</v>
      </c>
      <c r="D15" s="5"/>
      <c r="E15" s="6"/>
      <c r="F15" s="6"/>
      <c r="G15" s="28"/>
      <c r="H15" s="28"/>
      <c r="I15" s="28"/>
      <c r="J15" s="28"/>
      <c r="K15" s="28"/>
      <c r="L15" s="6"/>
      <c r="M15" s="6"/>
      <c r="N15" s="6"/>
      <c r="O15" s="6"/>
    </row>
    <row r="16" spans="1:15" ht="12.75" hidden="1" customHeight="1">
      <c r="A16" s="11"/>
      <c r="C16" s="5" t="s">
        <v>34</v>
      </c>
      <c r="D16" s="5"/>
      <c r="E16" s="6"/>
      <c r="F16" s="6"/>
      <c r="G16" s="28"/>
      <c r="H16" s="28"/>
      <c r="I16" s="28"/>
      <c r="J16" s="28"/>
      <c r="K16" s="28"/>
      <c r="L16" s="6"/>
      <c r="M16" s="6"/>
      <c r="N16" s="6"/>
      <c r="O16" s="6"/>
    </row>
    <row r="17" spans="1:16" ht="6" customHeight="1">
      <c r="A17" s="11"/>
    </row>
    <row r="18" spans="1:16" ht="12" customHeight="1">
      <c r="A18" s="11"/>
      <c r="B18" s="2" t="s">
        <v>8</v>
      </c>
      <c r="C18" s="2"/>
      <c r="D18" s="2"/>
      <c r="E18" s="4">
        <f t="shared" ref="E18:N18" si="1">SUM(E19:E26)</f>
        <v>0</v>
      </c>
      <c r="F18" s="4">
        <f t="shared" si="1"/>
        <v>0</v>
      </c>
      <c r="G18" s="37">
        <f t="shared" si="1"/>
        <v>-2298.67</v>
      </c>
      <c r="H18" s="37">
        <f t="shared" si="1"/>
        <v>-2350.0682500000003</v>
      </c>
      <c r="I18" s="37">
        <f t="shared" si="1"/>
        <v>-2402.6800862500004</v>
      </c>
      <c r="J18" s="37">
        <f t="shared" si="1"/>
        <v>-2456.5344210062499</v>
      </c>
      <c r="K18" s="37">
        <f>SUM(K19:K26)</f>
        <v>-2511.660860783406</v>
      </c>
      <c r="L18" s="4">
        <f t="shared" si="1"/>
        <v>0</v>
      </c>
      <c r="M18" s="4">
        <f t="shared" si="1"/>
        <v>0</v>
      </c>
      <c r="N18" s="4">
        <f t="shared" si="1"/>
        <v>0</v>
      </c>
      <c r="O18" s="4"/>
    </row>
    <row r="19" spans="1:16" ht="15" customHeight="1">
      <c r="A19" s="11"/>
      <c r="C19" s="261" t="s">
        <v>25</v>
      </c>
      <c r="D19" s="261"/>
      <c r="E19" s="262"/>
      <c r="F19" s="262"/>
      <c r="G19" s="171">
        <f>'assumptions completed'!H7/-1000</f>
        <v>-713.7</v>
      </c>
      <c r="H19" s="171">
        <f>G19*1.02</f>
        <v>-727.97400000000005</v>
      </c>
      <c r="I19" s="171">
        <f>H19*1.02</f>
        <v>-742.53348000000005</v>
      </c>
      <c r="J19" s="171">
        <f>I19*1.02</f>
        <v>-757.38414960000011</v>
      </c>
      <c r="K19" s="171">
        <f>J19*1.02</f>
        <v>-772.53183259200011</v>
      </c>
      <c r="L19" s="6"/>
      <c r="M19" s="6"/>
      <c r="N19" s="6"/>
      <c r="O19" s="6"/>
    </row>
    <row r="20" spans="1:16" ht="15" customHeight="1">
      <c r="A20" s="11"/>
      <c r="C20" s="264" t="s">
        <v>161</v>
      </c>
      <c r="D20" s="264"/>
      <c r="E20" s="265"/>
      <c r="F20" s="265"/>
      <c r="G20" s="121">
        <f>'assumptions completed'!H15/-1000</f>
        <v>-1448.97</v>
      </c>
      <c r="H20" s="121">
        <f>G20*1.025</f>
        <v>-1485.19425</v>
      </c>
      <c r="I20" s="121">
        <f>H20*1.025</f>
        <v>-1522.3241062499999</v>
      </c>
      <c r="J20" s="121">
        <f>I20*1.025</f>
        <v>-1560.3822089062498</v>
      </c>
      <c r="K20" s="121">
        <f>J20*1.025</f>
        <v>-1599.3917641289061</v>
      </c>
      <c r="L20" s="6"/>
      <c r="M20" s="6"/>
      <c r="N20" s="6"/>
      <c r="O20" s="6"/>
    </row>
    <row r="21" spans="1:16" ht="15" customHeight="1">
      <c r="A21" s="11"/>
      <c r="C21" s="264" t="s">
        <v>9</v>
      </c>
      <c r="D21" s="264"/>
      <c r="E21" s="265"/>
      <c r="F21" s="265"/>
      <c r="G21" s="121">
        <f>-'assumptions completed'!H46/1000</f>
        <v>-100</v>
      </c>
      <c r="H21" s="121">
        <f>G21</f>
        <v>-100</v>
      </c>
      <c r="I21" s="121">
        <f>H21</f>
        <v>-100</v>
      </c>
      <c r="J21" s="121">
        <f>I21</f>
        <v>-100</v>
      </c>
      <c r="K21" s="121">
        <f>J21</f>
        <v>-100</v>
      </c>
      <c r="L21" s="6"/>
      <c r="M21" s="6"/>
      <c r="N21" s="6"/>
      <c r="O21" s="6"/>
    </row>
    <row r="22" spans="1:16" ht="12.75" hidden="1" customHeight="1">
      <c r="A22" s="11"/>
      <c r="C22" s="264" t="s">
        <v>27</v>
      </c>
      <c r="D22" s="264"/>
      <c r="E22" s="265"/>
      <c r="F22" s="265"/>
      <c r="G22" s="121"/>
      <c r="H22" s="121"/>
      <c r="I22" s="121"/>
      <c r="J22" s="121"/>
      <c r="K22" s="121"/>
      <c r="L22" s="6"/>
      <c r="M22" s="6"/>
      <c r="N22" s="6"/>
      <c r="O22" s="6"/>
    </row>
    <row r="23" spans="1:16" ht="12.75" hidden="1" customHeight="1">
      <c r="A23" s="11"/>
      <c r="C23" s="264" t="s">
        <v>21</v>
      </c>
      <c r="D23" s="264"/>
      <c r="E23" s="265"/>
      <c r="F23" s="265"/>
      <c r="G23" s="121"/>
      <c r="H23" s="121"/>
      <c r="I23" s="121"/>
      <c r="J23" s="121"/>
      <c r="K23" s="121"/>
      <c r="L23" s="6"/>
      <c r="M23" s="6"/>
      <c r="N23" s="6"/>
      <c r="O23" s="6"/>
    </row>
    <row r="24" spans="1:16" ht="12.75" hidden="1" customHeight="1">
      <c r="A24" s="11"/>
      <c r="C24" s="264" t="s">
        <v>19</v>
      </c>
      <c r="D24" s="264"/>
      <c r="E24" s="265"/>
      <c r="F24" s="265"/>
      <c r="G24" s="121"/>
      <c r="H24" s="121"/>
      <c r="I24" s="121"/>
      <c r="J24" s="121"/>
      <c r="K24" s="121"/>
      <c r="L24" s="6"/>
      <c r="M24" s="6"/>
      <c r="N24" s="6"/>
      <c r="O24" s="6"/>
    </row>
    <row r="25" spans="1:16" ht="15" customHeight="1">
      <c r="A25" s="11"/>
      <c r="C25" s="264" t="s">
        <v>382</v>
      </c>
      <c r="D25" s="264"/>
      <c r="E25" s="265"/>
      <c r="F25" s="265"/>
      <c r="G25" s="121">
        <f>'assumptions completed'!H50/-1000</f>
        <v>-36</v>
      </c>
      <c r="H25" s="121">
        <f>G25*1.025</f>
        <v>-36.9</v>
      </c>
      <c r="I25" s="121">
        <f>H25*1.025</f>
        <v>-37.822499999999998</v>
      </c>
      <c r="J25" s="121">
        <f>I25*1.025</f>
        <v>-38.768062499999992</v>
      </c>
      <c r="K25" s="121">
        <f>J25*1.025</f>
        <v>-39.737264062499989</v>
      </c>
      <c r="L25" s="6"/>
      <c r="M25" s="6"/>
      <c r="N25" s="6"/>
      <c r="O25" s="6"/>
    </row>
    <row r="26" spans="1:16" ht="15" customHeight="1">
      <c r="A26" s="11"/>
      <c r="C26" s="267" t="s">
        <v>10</v>
      </c>
      <c r="D26" s="267"/>
      <c r="E26" s="268"/>
      <c r="F26" s="268"/>
      <c r="G26" s="269"/>
      <c r="H26" s="269"/>
      <c r="I26" s="269"/>
      <c r="J26" s="269"/>
      <c r="K26" s="269"/>
      <c r="L26" s="6"/>
      <c r="M26" s="6"/>
      <c r="N26" s="6"/>
      <c r="O26" s="6"/>
    </row>
    <row r="27" spans="1:16" ht="6" customHeight="1">
      <c r="A27" s="11"/>
    </row>
    <row r="28" spans="1:16" ht="16" hidden="1">
      <c r="A28" s="11" t="s">
        <v>36</v>
      </c>
    </row>
    <row r="29" spans="1:16" hidden="1">
      <c r="B29" s="2" t="s">
        <v>6</v>
      </c>
      <c r="C29" s="12"/>
      <c r="D29" s="12"/>
      <c r="E29" s="4">
        <f t="shared" ref="E29:N29" si="2">SUM(E30:E38)</f>
        <v>0</v>
      </c>
      <c r="F29" s="4">
        <f t="shared" si="2"/>
        <v>0</v>
      </c>
      <c r="G29" s="37">
        <f t="shared" si="2"/>
        <v>0</v>
      </c>
      <c r="H29" s="37">
        <f t="shared" si="2"/>
        <v>0</v>
      </c>
      <c r="I29" s="37">
        <f t="shared" si="2"/>
        <v>0</v>
      </c>
      <c r="J29" s="37">
        <f t="shared" si="2"/>
        <v>0</v>
      </c>
      <c r="K29" s="37">
        <f>SUM(K30:K38)</f>
        <v>0</v>
      </c>
      <c r="L29" s="4">
        <f t="shared" si="2"/>
        <v>0</v>
      </c>
      <c r="M29" s="4">
        <f t="shared" si="2"/>
        <v>0</v>
      </c>
      <c r="N29" s="4">
        <f t="shared" si="2"/>
        <v>0</v>
      </c>
      <c r="O29" s="4"/>
      <c r="P29" s="12"/>
    </row>
    <row r="30" spans="1:16" hidden="1">
      <c r="C30" s="7" t="s">
        <v>19</v>
      </c>
      <c r="D30" s="5"/>
      <c r="E30" s="6"/>
      <c r="F30" s="6"/>
      <c r="G30" s="28"/>
      <c r="H30" s="28"/>
      <c r="I30" s="28"/>
      <c r="J30" s="28"/>
      <c r="K30" s="28"/>
      <c r="L30" s="6"/>
      <c r="M30" s="6"/>
      <c r="N30" s="6"/>
      <c r="O30" s="6"/>
      <c r="P30" s="5"/>
    </row>
    <row r="31" spans="1:16" hidden="1">
      <c r="C31" s="5" t="s">
        <v>20</v>
      </c>
      <c r="D31" s="5"/>
      <c r="E31" s="6"/>
      <c r="F31" s="6"/>
      <c r="G31" s="28"/>
      <c r="H31" s="28"/>
      <c r="I31" s="28"/>
      <c r="J31" s="28"/>
      <c r="K31" s="28"/>
      <c r="L31" s="6"/>
      <c r="M31" s="6"/>
      <c r="N31" s="6"/>
      <c r="O31" s="6"/>
      <c r="P31" s="5"/>
    </row>
    <row r="32" spans="1:16" hidden="1">
      <c r="C32" s="5" t="s">
        <v>21</v>
      </c>
      <c r="D32" s="5"/>
      <c r="E32" s="6"/>
      <c r="F32" s="6"/>
      <c r="G32" s="28"/>
      <c r="H32" s="28"/>
      <c r="I32" s="28"/>
      <c r="J32" s="28"/>
      <c r="K32" s="28"/>
      <c r="L32" s="6"/>
      <c r="M32" s="6"/>
      <c r="N32" s="6"/>
      <c r="O32" s="6"/>
      <c r="P32" s="5"/>
    </row>
    <row r="33" spans="2:16" hidden="1">
      <c r="C33" s="5" t="s">
        <v>22</v>
      </c>
      <c r="D33" s="5"/>
      <c r="E33" s="6"/>
      <c r="F33" s="6"/>
      <c r="G33" s="28"/>
      <c r="H33" s="28"/>
      <c r="I33" s="28"/>
      <c r="J33" s="28"/>
      <c r="K33" s="28"/>
      <c r="L33" s="6"/>
      <c r="M33" s="6"/>
      <c r="N33" s="6"/>
      <c r="O33" s="6"/>
      <c r="P33" s="5"/>
    </row>
    <row r="34" spans="2:16" hidden="1">
      <c r="C34" s="5" t="s">
        <v>23</v>
      </c>
      <c r="D34" s="5"/>
      <c r="E34" s="6"/>
      <c r="F34" s="6"/>
      <c r="G34" s="28"/>
      <c r="H34" s="28"/>
      <c r="I34" s="28"/>
      <c r="J34" s="28"/>
      <c r="K34" s="28"/>
      <c r="L34" s="6"/>
      <c r="M34" s="6"/>
      <c r="N34" s="6"/>
      <c r="O34" s="6"/>
      <c r="P34" s="5"/>
    </row>
    <row r="35" spans="2:16" hidden="1">
      <c r="C35" s="5" t="s">
        <v>24</v>
      </c>
      <c r="D35" s="5"/>
      <c r="E35" s="6"/>
      <c r="F35" s="6"/>
      <c r="G35" s="28"/>
      <c r="H35" s="28"/>
      <c r="I35" s="28"/>
      <c r="J35" s="28"/>
      <c r="K35" s="28"/>
      <c r="L35" s="6"/>
      <c r="M35" s="6"/>
      <c r="N35" s="6"/>
      <c r="O35" s="6"/>
      <c r="P35" s="5"/>
    </row>
    <row r="36" spans="2:16" hidden="1">
      <c r="C36" s="5" t="s">
        <v>104</v>
      </c>
      <c r="D36" s="5"/>
      <c r="E36" s="6"/>
      <c r="F36" s="6"/>
      <c r="G36" s="28"/>
      <c r="H36" s="28"/>
      <c r="I36" s="28"/>
      <c r="J36" s="28"/>
      <c r="K36" s="28"/>
      <c r="L36" s="6"/>
      <c r="M36" s="6"/>
      <c r="N36" s="6"/>
      <c r="O36" s="6"/>
      <c r="P36" s="5"/>
    </row>
    <row r="37" spans="2:16" hidden="1">
      <c r="C37" s="5" t="s">
        <v>7</v>
      </c>
      <c r="D37" s="5"/>
      <c r="E37" s="6"/>
      <c r="F37" s="6"/>
      <c r="G37" s="28"/>
      <c r="H37" s="28"/>
      <c r="I37" s="28"/>
      <c r="J37" s="28"/>
      <c r="K37" s="28"/>
      <c r="L37" s="6"/>
      <c r="M37" s="6"/>
      <c r="N37" s="6"/>
      <c r="O37" s="6"/>
      <c r="P37" s="5"/>
    </row>
    <row r="38" spans="2:16" hidden="1">
      <c r="C38" s="5" t="s">
        <v>34</v>
      </c>
      <c r="D38" s="5"/>
      <c r="E38" s="6"/>
      <c r="F38" s="6"/>
      <c r="G38" s="28"/>
      <c r="H38" s="28"/>
      <c r="I38" s="28"/>
      <c r="J38" s="28"/>
      <c r="K38" s="28"/>
      <c r="L38" s="6"/>
      <c r="M38" s="6"/>
      <c r="N38" s="6"/>
      <c r="O38" s="6"/>
      <c r="P38" s="5"/>
    </row>
    <row r="39" spans="2:16" hidden="1">
      <c r="B39" s="2" t="s">
        <v>8</v>
      </c>
      <c r="C39" s="12"/>
      <c r="D39" s="12"/>
      <c r="E39" s="4">
        <f t="shared" ref="E39:N39" si="3">SUM(E40:E47)</f>
        <v>0</v>
      </c>
      <c r="F39" s="4">
        <f t="shared" si="3"/>
        <v>0</v>
      </c>
      <c r="G39" s="37">
        <f t="shared" si="3"/>
        <v>0</v>
      </c>
      <c r="H39" s="37">
        <f t="shared" si="3"/>
        <v>0</v>
      </c>
      <c r="I39" s="37">
        <f t="shared" si="3"/>
        <v>0</v>
      </c>
      <c r="J39" s="37">
        <f t="shared" si="3"/>
        <v>0</v>
      </c>
      <c r="K39" s="37">
        <f>SUM(K40:K47)</f>
        <v>0</v>
      </c>
      <c r="L39" s="4">
        <f t="shared" si="3"/>
        <v>0</v>
      </c>
      <c r="M39" s="4">
        <f t="shared" si="3"/>
        <v>0</v>
      </c>
      <c r="N39" s="4">
        <f t="shared" si="3"/>
        <v>0</v>
      </c>
      <c r="O39" s="4"/>
      <c r="P39" s="12"/>
    </row>
    <row r="40" spans="2:16" hidden="1">
      <c r="C40" s="5" t="s">
        <v>25</v>
      </c>
      <c r="D40" s="5"/>
      <c r="E40" s="6"/>
      <c r="F40" s="6"/>
      <c r="G40" s="28"/>
      <c r="H40" s="28"/>
      <c r="I40" s="28"/>
      <c r="J40" s="28"/>
      <c r="K40" s="28"/>
      <c r="L40" s="6"/>
      <c r="M40" s="6"/>
      <c r="N40" s="6"/>
      <c r="O40" s="6"/>
      <c r="P40" s="5"/>
    </row>
    <row r="41" spans="2:16" hidden="1">
      <c r="C41" s="5" t="s">
        <v>26</v>
      </c>
      <c r="F41" s="6"/>
      <c r="G41" s="28"/>
      <c r="H41" s="28"/>
      <c r="I41" s="28"/>
      <c r="J41" s="28"/>
      <c r="K41" s="28"/>
      <c r="P41" s="5"/>
    </row>
    <row r="42" spans="2:16" hidden="1">
      <c r="C42" s="5" t="s">
        <v>9</v>
      </c>
      <c r="F42" s="6"/>
      <c r="G42" s="28"/>
      <c r="H42" s="28"/>
      <c r="I42" s="28"/>
      <c r="J42" s="28"/>
      <c r="K42" s="28"/>
      <c r="P42" s="5"/>
    </row>
    <row r="43" spans="2:16" hidden="1">
      <c r="C43" s="5" t="s">
        <v>27</v>
      </c>
      <c r="F43" s="6"/>
      <c r="G43" s="28"/>
      <c r="H43" s="28"/>
      <c r="I43" s="28"/>
      <c r="J43" s="28"/>
      <c r="K43" s="28"/>
      <c r="P43" s="5"/>
    </row>
    <row r="44" spans="2:16" hidden="1">
      <c r="C44" s="5" t="s">
        <v>21</v>
      </c>
      <c r="F44" s="6"/>
      <c r="G44" s="28"/>
      <c r="H44" s="28"/>
      <c r="I44" s="28"/>
      <c r="J44" s="28"/>
      <c r="K44" s="28"/>
      <c r="P44" s="5"/>
    </row>
    <row r="45" spans="2:16" hidden="1">
      <c r="C45" s="5" t="s">
        <v>19</v>
      </c>
      <c r="F45" s="6"/>
      <c r="G45" s="28"/>
      <c r="H45" s="28"/>
      <c r="I45" s="28"/>
      <c r="J45" s="28"/>
      <c r="K45" s="28"/>
      <c r="P45" s="5"/>
    </row>
    <row r="46" spans="2:16" hidden="1">
      <c r="C46" s="5" t="s">
        <v>105</v>
      </c>
      <c r="F46" s="6"/>
      <c r="G46" s="28"/>
      <c r="H46" s="28"/>
      <c r="I46" s="28"/>
      <c r="J46" s="28"/>
      <c r="K46" s="28"/>
      <c r="P46" s="5"/>
    </row>
    <row r="47" spans="2:16" hidden="1">
      <c r="C47" s="5" t="s">
        <v>10</v>
      </c>
      <c r="F47" s="6"/>
      <c r="G47" s="28"/>
      <c r="H47" s="28"/>
      <c r="I47" s="28"/>
      <c r="J47" s="28"/>
      <c r="K47" s="28"/>
      <c r="P47" s="5"/>
    </row>
    <row r="48" spans="2:16" ht="6" customHeight="1">
      <c r="C48" s="5"/>
      <c r="P48" s="5"/>
    </row>
    <row r="49" spans="2:17">
      <c r="B49" s="2" t="s">
        <v>436</v>
      </c>
      <c r="E49" s="4">
        <f t="shared" ref="E49:N49" si="4">E18-E7+E39-E29</f>
        <v>0</v>
      </c>
      <c r="F49" s="4">
        <f t="shared" si="4"/>
        <v>0</v>
      </c>
      <c r="G49" s="37">
        <f t="shared" si="4"/>
        <v>-2298.67</v>
      </c>
      <c r="H49" s="37">
        <f t="shared" si="4"/>
        <v>-2350.0682500000003</v>
      </c>
      <c r="I49" s="37">
        <f t="shared" si="4"/>
        <v>-2402.6800862500004</v>
      </c>
      <c r="J49" s="37">
        <f t="shared" si="4"/>
        <v>-2456.5344210062499</v>
      </c>
      <c r="K49" s="37">
        <f>K18-K7+K39-K29</f>
        <v>-2511.660860783406</v>
      </c>
      <c r="L49" s="4">
        <f t="shared" si="4"/>
        <v>0</v>
      </c>
      <c r="M49" s="4">
        <f t="shared" si="4"/>
        <v>0</v>
      </c>
      <c r="N49" s="4">
        <f t="shared" si="4"/>
        <v>0</v>
      </c>
      <c r="O49" s="4"/>
      <c r="P49" s="5" t="s">
        <v>17</v>
      </c>
      <c r="Q49" s="13">
        <f>SUM(G49:K49)</f>
        <v>-12019.613618039657</v>
      </c>
    </row>
    <row r="50" spans="2:17" ht="6" customHeight="1">
      <c r="P50" s="5"/>
    </row>
    <row r="51" spans="2:17" ht="15" customHeight="1">
      <c r="B51" t="s">
        <v>12</v>
      </c>
      <c r="C51" t="s">
        <v>9</v>
      </c>
      <c r="E51" s="6">
        <f t="shared" ref="E51:N51" si="5">-E21-E42</f>
        <v>0</v>
      </c>
      <c r="F51" s="6">
        <f t="shared" si="5"/>
        <v>0</v>
      </c>
      <c r="G51" s="214">
        <f t="shared" si="5"/>
        <v>100</v>
      </c>
      <c r="H51" s="214">
        <f t="shared" si="5"/>
        <v>100</v>
      </c>
      <c r="I51" s="214">
        <f t="shared" si="5"/>
        <v>100</v>
      </c>
      <c r="J51" s="214">
        <f t="shared" si="5"/>
        <v>100</v>
      </c>
      <c r="K51" s="214">
        <f>-K21-K42</f>
        <v>100</v>
      </c>
      <c r="L51" s="271">
        <f t="shared" si="5"/>
        <v>0</v>
      </c>
      <c r="M51" s="271">
        <f t="shared" si="5"/>
        <v>0</v>
      </c>
      <c r="N51" s="271">
        <f t="shared" si="5"/>
        <v>0</v>
      </c>
      <c r="O51" s="271"/>
      <c r="P51" s="5" t="s">
        <v>17</v>
      </c>
    </row>
    <row r="52" spans="2:17" ht="15" customHeight="1">
      <c r="B52" t="s">
        <v>14</v>
      </c>
      <c r="C52" t="s">
        <v>15</v>
      </c>
      <c r="E52" s="6"/>
      <c r="F52" s="6"/>
      <c r="G52" s="214" t="e">
        <f>-'assumptions completed'!#REF!/1000</f>
        <v>#REF!</v>
      </c>
      <c r="H52" s="214" t="e">
        <f>G52*1.025</f>
        <v>#REF!</v>
      </c>
      <c r="I52" s="214" t="e">
        <f>H52*1.025</f>
        <v>#REF!</v>
      </c>
      <c r="J52" s="214" t="e">
        <f>I52*1.025</f>
        <v>#REF!</v>
      </c>
      <c r="K52" s="214" t="e">
        <f>J52*1.025</f>
        <v>#REF!</v>
      </c>
      <c r="L52" s="271"/>
      <c r="M52" s="271"/>
      <c r="N52" s="271"/>
      <c r="O52" s="271"/>
      <c r="P52" s="5"/>
    </row>
    <row r="53" spans="2:17" ht="6" customHeight="1">
      <c r="P53" s="5"/>
    </row>
    <row r="54" spans="2:17">
      <c r="B54" s="2" t="s">
        <v>390</v>
      </c>
      <c r="E54" s="4">
        <f t="shared" ref="E54:N54" si="6">E49+E51+E52</f>
        <v>0</v>
      </c>
      <c r="F54" s="4">
        <f t="shared" si="6"/>
        <v>0</v>
      </c>
      <c r="G54" s="37" t="e">
        <f t="shared" si="6"/>
        <v>#REF!</v>
      </c>
      <c r="H54" s="37" t="e">
        <f t="shared" si="6"/>
        <v>#REF!</v>
      </c>
      <c r="I54" s="37" t="e">
        <f t="shared" si="6"/>
        <v>#REF!</v>
      </c>
      <c r="J54" s="37" t="e">
        <f t="shared" si="6"/>
        <v>#REF!</v>
      </c>
      <c r="K54" s="37" t="e">
        <f>K49+K51+K52</f>
        <v>#REF!</v>
      </c>
      <c r="L54" s="4">
        <f t="shared" si="6"/>
        <v>0</v>
      </c>
      <c r="M54" s="4">
        <f t="shared" si="6"/>
        <v>0</v>
      </c>
      <c r="N54" s="4">
        <f t="shared" si="6"/>
        <v>0</v>
      </c>
      <c r="O54" s="4"/>
      <c r="P54" s="5" t="s">
        <v>17</v>
      </c>
    </row>
    <row r="55" spans="2:17" ht="6" customHeight="1"/>
    <row r="56" spans="2:17">
      <c r="B56" s="2" t="s">
        <v>28</v>
      </c>
      <c r="E56" s="4">
        <f t="shared" ref="E56:N56" si="7">E18+E51+E52+E39</f>
        <v>0</v>
      </c>
      <c r="F56" s="4">
        <f t="shared" si="7"/>
        <v>0</v>
      </c>
      <c r="G56" s="37" t="e">
        <f t="shared" si="7"/>
        <v>#REF!</v>
      </c>
      <c r="H56" s="37" t="e">
        <f t="shared" si="7"/>
        <v>#REF!</v>
      </c>
      <c r="I56" s="37" t="e">
        <f t="shared" si="7"/>
        <v>#REF!</v>
      </c>
      <c r="J56" s="37" t="e">
        <f t="shared" si="7"/>
        <v>#REF!</v>
      </c>
      <c r="K56" s="37" t="e">
        <f>K18+K51+K52+K39</f>
        <v>#REF!</v>
      </c>
      <c r="L56" s="4">
        <f t="shared" si="7"/>
        <v>0</v>
      </c>
      <c r="M56" s="4">
        <f t="shared" si="7"/>
        <v>0</v>
      </c>
      <c r="N56" s="4">
        <f t="shared" si="7"/>
        <v>0</v>
      </c>
      <c r="O56" s="4"/>
    </row>
  </sheetData>
  <mergeCells count="1">
    <mergeCell ref="A1:K1"/>
  </mergeCells>
  <phoneticPr fontId="4" type="noConversion"/>
  <pageMargins left="0.75" right="0.75" top="1" bottom="1" header="0.5" footer="0.5"/>
  <pageSetup paperSize="9" scale="84" orientation="portrait" horizontalDpi="4294967293" verticalDpi="4294967293"/>
  <headerFooter alignWithMargins="0">
    <oddFooter>&amp;L&amp;"Arial,Bold"&amp;12&amp;F&amp;C&amp;A&amp;R&amp;D&amp;T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#7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43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8"/>
  <sheetViews>
    <sheetView showGridLines="0" workbookViewId="0">
      <pane xSplit="4" ySplit="6" topLeftCell="G7" activePane="bottomRight" state="frozen"/>
      <selection activeCell="K55" sqref="K55:V55"/>
      <selection pane="topRight" activeCell="K55" sqref="K55:V55"/>
      <selection pane="bottomLeft" activeCell="K55" sqref="K55:V55"/>
      <selection pane="bottomRight" activeCell="B1" sqref="B1:K57"/>
    </sheetView>
  </sheetViews>
  <sheetFormatPr baseColWidth="10" defaultColWidth="8.83203125" defaultRowHeight="13"/>
  <cols>
    <col min="1" max="1" width="5.5" hidden="1" customWidth="1"/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6" width="0" style="10" hidden="1" customWidth="1"/>
    <col min="7" max="11" width="9.1640625" style="10" customWidth="1"/>
    <col min="12" max="14" width="9.1640625" style="10" hidden="1" customWidth="1"/>
    <col min="15" max="15" width="3.6640625" style="10" customWidth="1"/>
  </cols>
  <sheetData>
    <row r="1" spans="1:16" ht="16">
      <c r="B1" s="684" t="s">
        <v>151</v>
      </c>
      <c r="C1" s="684"/>
      <c r="D1" s="684"/>
      <c r="E1" s="684"/>
      <c r="F1" s="684"/>
      <c r="G1" s="684"/>
      <c r="H1" s="684"/>
      <c r="I1" s="684"/>
      <c r="J1" s="684"/>
      <c r="K1" s="684"/>
      <c r="L1" s="8"/>
      <c r="M1" s="8"/>
      <c r="N1" s="8"/>
      <c r="O1" s="8"/>
    </row>
    <row r="2" spans="1:16" hidden="1"/>
    <row r="3" spans="1:16">
      <c r="B3" t="s">
        <v>18</v>
      </c>
      <c r="C3" s="2"/>
      <c r="D3" s="2"/>
    </row>
    <row r="4" spans="1:16">
      <c r="B4" t="s">
        <v>1</v>
      </c>
      <c r="C4" s="2" t="s">
        <v>656</v>
      </c>
      <c r="D4" s="2"/>
    </row>
    <row r="5" spans="1:16">
      <c r="B5" t="s">
        <v>64</v>
      </c>
    </row>
    <row r="6" spans="1:16">
      <c r="C6" s="2" t="s">
        <v>66</v>
      </c>
      <c r="E6" s="3" t="s">
        <v>2</v>
      </c>
      <c r="F6" s="3" t="s">
        <v>3</v>
      </c>
      <c r="G6" s="15" t="s">
        <v>333</v>
      </c>
      <c r="H6" s="15" t="s">
        <v>334</v>
      </c>
      <c r="I6" s="15" t="s">
        <v>335</v>
      </c>
      <c r="J6" s="15" t="s">
        <v>336</v>
      </c>
      <c r="K6" s="15" t="s">
        <v>337</v>
      </c>
      <c r="L6" s="3" t="s">
        <v>39</v>
      </c>
      <c r="M6" s="3" t="s">
        <v>40</v>
      </c>
      <c r="N6" s="3" t="s">
        <v>41</v>
      </c>
      <c r="O6" s="3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37">
        <f t="shared" si="0"/>
        <v>0</v>
      </c>
      <c r="H8" s="37">
        <f t="shared" si="0"/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t="s">
        <v>17</v>
      </c>
    </row>
    <row r="9" spans="1:16" ht="12.75" hidden="1" customHeight="1">
      <c r="A9" s="11"/>
      <c r="B9" s="2"/>
      <c r="C9" s="7" t="s">
        <v>19</v>
      </c>
      <c r="D9" s="2"/>
      <c r="E9" s="4"/>
      <c r="F9" s="4"/>
      <c r="G9" s="34">
        <f>'zero based budget'!G8-'updated budget'!G9</f>
        <v>0</v>
      </c>
      <c r="H9" s="34">
        <f>'zero based budget'!H8-'updated budget'!H9</f>
        <v>0</v>
      </c>
      <c r="I9" s="34">
        <f>'zero based budget'!I8-'updated budget'!I9</f>
        <v>0</v>
      </c>
      <c r="J9" s="34">
        <f>'zero based budget'!J8-'updated budget'!J9</f>
        <v>0</v>
      </c>
      <c r="K9" s="37"/>
      <c r="L9" s="4"/>
      <c r="M9" s="4"/>
      <c r="N9" s="4"/>
      <c r="O9" s="4"/>
    </row>
    <row r="10" spans="1:16" ht="12.75" hidden="1" customHeight="1">
      <c r="A10" s="11"/>
      <c r="C10" s="5" t="s">
        <v>20</v>
      </c>
      <c r="D10" s="5"/>
      <c r="E10" s="6"/>
      <c r="F10" s="6"/>
      <c r="G10" s="34">
        <f>'zero based budget'!G9-'updated budget'!G10</f>
        <v>0</v>
      </c>
      <c r="H10" s="34">
        <f>'zero based budget'!H9-'updated budget'!H10</f>
        <v>0</v>
      </c>
      <c r="I10" s="34">
        <f>'zero based budget'!I9-'updated budget'!I10</f>
        <v>0</v>
      </c>
      <c r="J10" s="34">
        <f>'zero based budget'!J9-'updated budget'!J10</f>
        <v>0</v>
      </c>
      <c r="K10" s="28"/>
      <c r="L10" s="6"/>
      <c r="M10" s="6"/>
      <c r="N10" s="6"/>
      <c r="O10" s="6"/>
    </row>
    <row r="11" spans="1:16" ht="12.75" hidden="1" customHeight="1">
      <c r="A11" s="11"/>
      <c r="C11" s="5" t="s">
        <v>21</v>
      </c>
      <c r="D11" s="5"/>
      <c r="E11" s="6"/>
      <c r="F11" s="6"/>
      <c r="G11" s="34">
        <f>'zero based budget'!G10-'updated budget'!G11</f>
        <v>0</v>
      </c>
      <c r="H11" s="34">
        <f>'zero based budget'!H10-'updated budget'!H11</f>
        <v>0</v>
      </c>
      <c r="I11" s="34">
        <f>'zero based budget'!I10-'updated budget'!I11</f>
        <v>0</v>
      </c>
      <c r="J11" s="34">
        <f>'zero based budget'!J10-'updated budget'!J11</f>
        <v>0</v>
      </c>
      <c r="K11" s="28"/>
      <c r="L11" s="6"/>
      <c r="M11" s="6"/>
      <c r="N11" s="6"/>
      <c r="O11" s="6"/>
    </row>
    <row r="12" spans="1:16" ht="12.75" hidden="1" customHeight="1">
      <c r="A12" s="11"/>
      <c r="C12" s="5" t="s">
        <v>22</v>
      </c>
      <c r="D12" s="5"/>
      <c r="E12" s="6"/>
      <c r="F12" s="6"/>
      <c r="G12" s="34">
        <f>'zero based budget'!G11-'updated budget'!G12</f>
        <v>0</v>
      </c>
      <c r="H12" s="34">
        <f>'zero based budget'!H11-'updated budget'!H12</f>
        <v>0</v>
      </c>
      <c r="I12" s="34">
        <f>'zero based budget'!I11-'updated budget'!I12</f>
        <v>0</v>
      </c>
      <c r="J12" s="34">
        <f>'zero based budget'!J11-'updated budget'!J12</f>
        <v>0</v>
      </c>
      <c r="K12" s="28"/>
      <c r="L12" s="6"/>
      <c r="M12" s="6"/>
      <c r="N12" s="6"/>
      <c r="O12" s="6"/>
    </row>
    <row r="13" spans="1:16" ht="12.75" hidden="1" customHeight="1">
      <c r="A13" s="11"/>
      <c r="C13" s="5" t="s">
        <v>23</v>
      </c>
      <c r="D13" s="5"/>
      <c r="E13" s="6"/>
      <c r="F13" s="6"/>
      <c r="G13" s="34">
        <f>'zero based budget'!G12-'updated budget'!G13</f>
        <v>0</v>
      </c>
      <c r="H13" s="34">
        <f>'zero based budget'!H12-'updated budget'!H13</f>
        <v>0</v>
      </c>
      <c r="I13" s="34">
        <f>'zero based budget'!I12-'updated budget'!I13</f>
        <v>0</v>
      </c>
      <c r="J13" s="34">
        <f>'zero based budget'!J12-'updated budget'!J13</f>
        <v>0</v>
      </c>
      <c r="K13" s="28"/>
      <c r="L13" s="6"/>
      <c r="M13" s="6"/>
      <c r="N13" s="6"/>
      <c r="O13" s="6"/>
    </row>
    <row r="14" spans="1:16" ht="12.75" hidden="1" customHeight="1">
      <c r="A14" s="11"/>
      <c r="C14" s="5" t="s">
        <v>24</v>
      </c>
      <c r="D14" s="5"/>
      <c r="E14" s="6"/>
      <c r="F14" s="6"/>
      <c r="G14" s="34">
        <f>'zero based budget'!G13-'updated budget'!G14</f>
        <v>0</v>
      </c>
      <c r="H14" s="34">
        <f>'zero based budget'!H13-'updated budget'!H14</f>
        <v>0</v>
      </c>
      <c r="I14" s="34">
        <f>'zero based budget'!I13-'updated budget'!I14</f>
        <v>0</v>
      </c>
      <c r="J14" s="34">
        <f>'zero based budget'!J13-'updated budget'!J14</f>
        <v>0</v>
      </c>
      <c r="K14" s="28"/>
      <c r="L14" s="6"/>
      <c r="M14" s="6"/>
      <c r="N14" s="6"/>
      <c r="O14" s="6"/>
    </row>
    <row r="15" spans="1:16" ht="12.75" hidden="1" customHeight="1">
      <c r="A15" s="11"/>
      <c r="C15" s="5" t="s">
        <v>29</v>
      </c>
      <c r="D15" s="5"/>
      <c r="E15" s="6"/>
      <c r="F15" s="6"/>
      <c r="G15" s="34">
        <f>'zero based budget'!G14-'updated budget'!G15</f>
        <v>0</v>
      </c>
      <c r="H15" s="34">
        <f>'zero based budget'!H14-'updated budget'!H15</f>
        <v>0</v>
      </c>
      <c r="I15" s="34">
        <f>'zero based budget'!I14-'updated budget'!I15</f>
        <v>0</v>
      </c>
      <c r="J15" s="34">
        <f>'zero based budget'!J14-'updated budget'!J15</f>
        <v>0</v>
      </c>
      <c r="K15" s="28"/>
      <c r="L15" s="6"/>
      <c r="M15" s="6"/>
      <c r="N15" s="6"/>
      <c r="O15" s="6"/>
    </row>
    <row r="16" spans="1:16" ht="12.75" hidden="1" customHeight="1">
      <c r="A16" s="11"/>
      <c r="C16" s="5" t="s">
        <v>7</v>
      </c>
      <c r="D16" s="5"/>
      <c r="E16" s="6"/>
      <c r="F16" s="6"/>
      <c r="G16" s="34">
        <f>'zero based budget'!G15-'updated budget'!G16</f>
        <v>0</v>
      </c>
      <c r="H16" s="34">
        <f>'zero based budget'!H15-'updated budget'!H16</f>
        <v>0</v>
      </c>
      <c r="I16" s="34">
        <f>'zero based budget'!I15-'updated budget'!I16</f>
        <v>0</v>
      </c>
      <c r="J16" s="34">
        <f>'zero based budget'!J15-'updated budget'!J16</f>
        <v>0</v>
      </c>
      <c r="K16" s="28"/>
      <c r="L16" s="6"/>
      <c r="M16" s="6"/>
      <c r="N16" s="6"/>
      <c r="O16" s="6"/>
    </row>
    <row r="17" spans="1:16" ht="12.75" hidden="1" customHeight="1">
      <c r="A17" s="11"/>
      <c r="C17" s="5" t="s">
        <v>34</v>
      </c>
      <c r="D17" s="5"/>
      <c r="E17" s="6"/>
      <c r="F17" s="6"/>
      <c r="G17" s="34">
        <f>'zero based budget'!G16-'updated budget'!G17</f>
        <v>0</v>
      </c>
      <c r="H17" s="34">
        <f>'zero based budget'!H16-'updated budget'!H17</f>
        <v>0</v>
      </c>
      <c r="I17" s="34">
        <f>'zero based budget'!I16-'updated budget'!I17</f>
        <v>0</v>
      </c>
      <c r="J17" s="34">
        <f>'zero based budget'!J16-'updated budget'!J17</f>
        <v>0</v>
      </c>
      <c r="K17" s="28"/>
      <c r="L17" s="6"/>
      <c r="M17" s="6"/>
      <c r="N17" s="6"/>
      <c r="O17" s="6"/>
    </row>
    <row r="18" spans="1:16" ht="12.75" customHeight="1">
      <c r="A18" s="11"/>
      <c r="G18" s="61"/>
      <c r="H18" s="61"/>
      <c r="I18" s="61"/>
      <c r="J18" s="61"/>
      <c r="K18" s="61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37">
        <f t="shared" si="1"/>
        <v>-298.67000000000007</v>
      </c>
      <c r="H19" s="37">
        <f t="shared" si="1"/>
        <v>-305.46825000000024</v>
      </c>
      <c r="I19" s="37">
        <f t="shared" si="1"/>
        <v>-312.42308625000038</v>
      </c>
      <c r="J19" s="37">
        <f t="shared" si="1"/>
        <v>-319.53815600625063</v>
      </c>
      <c r="K19" s="37">
        <f>SUM(K20:K27)</f>
        <v>-326.81719235840694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t="s">
        <v>17</v>
      </c>
    </row>
    <row r="20" spans="1:16" ht="15" customHeight="1">
      <c r="A20" s="11"/>
      <c r="C20" s="261" t="s">
        <v>25</v>
      </c>
      <c r="D20" s="261"/>
      <c r="E20" s="262"/>
      <c r="F20" s="262"/>
      <c r="G20" s="263">
        <f>'zero based budget'!G19-'updated budget'!G20</f>
        <v>-133.70000000000005</v>
      </c>
      <c r="H20" s="263">
        <f>'zero based budget'!H19-'updated budget'!H20</f>
        <v>-136.37400000000002</v>
      </c>
      <c r="I20" s="263">
        <f>'zero based budget'!I19-'updated budget'!I20</f>
        <v>-139.10148000000004</v>
      </c>
      <c r="J20" s="263">
        <f>'zero based budget'!J19-'updated budget'!J20</f>
        <v>-141.88350960000014</v>
      </c>
      <c r="K20" s="263">
        <f>'zero based budget'!K19-'updated budget'!K20</f>
        <v>-144.72117979200016</v>
      </c>
      <c r="L20" s="6"/>
      <c r="M20" s="6"/>
      <c r="N20" s="6"/>
      <c r="O20" s="6"/>
    </row>
    <row r="21" spans="1:16" ht="15" customHeight="1">
      <c r="A21" s="11"/>
      <c r="C21" s="264" t="s">
        <v>161</v>
      </c>
      <c r="D21" s="264"/>
      <c r="E21" s="265"/>
      <c r="F21" s="265"/>
      <c r="G21" s="266">
        <f>'zero based budget'!G20-'updated budget'!G21</f>
        <v>-148.97000000000003</v>
      </c>
      <c r="H21" s="266">
        <f>'zero based budget'!H20-'updated budget'!H21</f>
        <v>-152.69425000000024</v>
      </c>
      <c r="I21" s="266">
        <f>'zero based budget'!I20-'updated budget'!I21</f>
        <v>-156.51160625000034</v>
      </c>
      <c r="J21" s="266">
        <f>'zero based budget'!J20-'updated budget'!J21</f>
        <v>-160.42439640625048</v>
      </c>
      <c r="K21" s="266">
        <f>'zero based budget'!K20-'updated budget'!K21</f>
        <v>-164.43500631640677</v>
      </c>
      <c r="L21" s="6"/>
      <c r="M21" s="6"/>
      <c r="N21" s="6"/>
      <c r="O21" s="6"/>
    </row>
    <row r="22" spans="1:16" ht="15" customHeight="1">
      <c r="A22" s="11"/>
      <c r="C22" s="264" t="s">
        <v>9</v>
      </c>
      <c r="D22" s="264"/>
      <c r="E22" s="265"/>
      <c r="F22" s="265"/>
      <c r="G22" s="266">
        <f>'zero based budget'!G21-'updated budget'!G22</f>
        <v>0</v>
      </c>
      <c r="H22" s="266">
        <f>'zero based budget'!H21-'updated budget'!H22</f>
        <v>0</v>
      </c>
      <c r="I22" s="266">
        <f>'zero based budget'!I21-'updated budget'!I22</f>
        <v>0</v>
      </c>
      <c r="J22" s="266">
        <f>'zero based budget'!J21-'updated budget'!J22</f>
        <v>0</v>
      </c>
      <c r="K22" s="266">
        <f>'zero based budget'!K21-'updated budget'!K22</f>
        <v>0</v>
      </c>
      <c r="L22" s="6"/>
      <c r="M22" s="6"/>
      <c r="N22" s="6"/>
      <c r="O22" s="6"/>
    </row>
    <row r="23" spans="1:16" ht="12.75" hidden="1" customHeight="1">
      <c r="A23" s="11"/>
      <c r="C23" s="264" t="s">
        <v>27</v>
      </c>
      <c r="D23" s="264"/>
      <c r="E23" s="265"/>
      <c r="F23" s="265"/>
      <c r="G23" s="266">
        <f>'zero based budget'!G22-'updated budget'!G23</f>
        <v>0</v>
      </c>
      <c r="H23" s="266">
        <f>'zero based budget'!H22-'updated budget'!H23</f>
        <v>0</v>
      </c>
      <c r="I23" s="266">
        <f>'zero based budget'!I22-'updated budget'!I23</f>
        <v>0</v>
      </c>
      <c r="J23" s="266">
        <f>'zero based budget'!J22-'updated budget'!J23</f>
        <v>0</v>
      </c>
      <c r="K23" s="266">
        <f>'zero based budget'!K22-'updated budget'!K23</f>
        <v>0</v>
      </c>
      <c r="L23" s="6"/>
      <c r="M23" s="6"/>
      <c r="N23" s="6"/>
      <c r="O23" s="6"/>
    </row>
    <row r="24" spans="1:16" ht="12.75" hidden="1" customHeight="1">
      <c r="A24" s="11"/>
      <c r="C24" s="264" t="s">
        <v>21</v>
      </c>
      <c r="D24" s="264"/>
      <c r="E24" s="265"/>
      <c r="F24" s="265"/>
      <c r="G24" s="266">
        <f>'zero based budget'!G23-'updated budget'!G24</f>
        <v>0</v>
      </c>
      <c r="H24" s="266">
        <f>'zero based budget'!H23-'updated budget'!H24</f>
        <v>0</v>
      </c>
      <c r="I24" s="266">
        <f>'zero based budget'!I23-'updated budget'!I24</f>
        <v>0</v>
      </c>
      <c r="J24" s="266">
        <f>'zero based budget'!J23-'updated budget'!J24</f>
        <v>0</v>
      </c>
      <c r="K24" s="266">
        <f>'zero based budget'!K23-'updated budget'!K24</f>
        <v>0</v>
      </c>
      <c r="L24" s="6"/>
      <c r="M24" s="6"/>
      <c r="N24" s="6"/>
      <c r="O24" s="6"/>
    </row>
    <row r="25" spans="1:16" ht="12.75" hidden="1" customHeight="1">
      <c r="A25" s="11"/>
      <c r="C25" s="264" t="s">
        <v>19</v>
      </c>
      <c r="D25" s="264"/>
      <c r="E25" s="265"/>
      <c r="F25" s="265"/>
      <c r="G25" s="266">
        <f>'zero based budget'!G24-'updated budget'!G25</f>
        <v>0</v>
      </c>
      <c r="H25" s="266">
        <f>'zero based budget'!H24-'updated budget'!H25</f>
        <v>0</v>
      </c>
      <c r="I25" s="266">
        <f>'zero based budget'!I24-'updated budget'!I25</f>
        <v>0</v>
      </c>
      <c r="J25" s="266">
        <f>'zero based budget'!J24-'updated budget'!J25</f>
        <v>0</v>
      </c>
      <c r="K25" s="266">
        <f>'zero based budget'!K24-'updated budget'!K25</f>
        <v>0</v>
      </c>
      <c r="L25" s="6"/>
      <c r="M25" s="6"/>
      <c r="N25" s="6"/>
      <c r="O25" s="6"/>
    </row>
    <row r="26" spans="1:16" ht="15" customHeight="1">
      <c r="A26" s="11"/>
      <c r="C26" s="264" t="s">
        <v>382</v>
      </c>
      <c r="D26" s="264"/>
      <c r="E26" s="265"/>
      <c r="F26" s="265"/>
      <c r="G26" s="266">
        <f>'zero based budget'!G25-'updated budget'!G26</f>
        <v>-16</v>
      </c>
      <c r="H26" s="266">
        <f>'zero based budget'!H25-'updated budget'!H26</f>
        <v>-16.399999999999999</v>
      </c>
      <c r="I26" s="266">
        <f>'zero based budget'!I25-'updated budget'!I26</f>
        <v>-16.809999999999999</v>
      </c>
      <c r="J26" s="266">
        <f>'zero based budget'!J25-'updated budget'!J26</f>
        <v>-17.230249999999995</v>
      </c>
      <c r="K26" s="266">
        <f>'zero based budget'!K25-'updated budget'!K26</f>
        <v>-17.661006249999993</v>
      </c>
      <c r="L26" s="6"/>
      <c r="M26" s="6"/>
      <c r="N26" s="6"/>
      <c r="O26" s="6"/>
    </row>
    <row r="27" spans="1:16" ht="15" customHeight="1">
      <c r="A27" s="11"/>
      <c r="C27" s="267" t="s">
        <v>10</v>
      </c>
      <c r="D27" s="267"/>
      <c r="E27" s="268"/>
      <c r="F27" s="268"/>
      <c r="G27" s="269">
        <f>'zero based budget'!G26-'updated budget'!G27</f>
        <v>0</v>
      </c>
      <c r="H27" s="269">
        <f>'zero based budget'!H26-'updated budget'!H27</f>
        <v>0</v>
      </c>
      <c r="I27" s="269">
        <f>'zero based budget'!I26-'updated budget'!I27</f>
        <v>0</v>
      </c>
      <c r="J27" s="269">
        <f>'zero based budget'!J26-'updated budget'!J27</f>
        <v>0</v>
      </c>
      <c r="K27" s="269">
        <f>'zero based budget'!K26-'updated budget'!K27</f>
        <v>0</v>
      </c>
      <c r="L27" s="6"/>
      <c r="M27" s="6"/>
      <c r="N27" s="6"/>
      <c r="O27" s="6"/>
    </row>
    <row r="28" spans="1:16" ht="12.75" hidden="1" customHeight="1">
      <c r="A28" s="11"/>
      <c r="G28" s="61"/>
      <c r="H28" s="61"/>
      <c r="I28" s="61"/>
      <c r="J28" s="61"/>
      <c r="K28" s="61"/>
    </row>
    <row r="29" spans="1:16" ht="16" hidden="1">
      <c r="A29" s="11" t="s">
        <v>36</v>
      </c>
      <c r="G29" s="61"/>
      <c r="H29" s="61"/>
      <c r="I29" s="61"/>
      <c r="J29" s="61"/>
      <c r="K29" s="61"/>
    </row>
    <row r="30" spans="1:16" hidden="1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37">
        <f t="shared" si="2"/>
        <v>0</v>
      </c>
      <c r="H30" s="37">
        <f t="shared" si="2"/>
        <v>0</v>
      </c>
      <c r="I30" s="37">
        <f t="shared" si="2"/>
        <v>0</v>
      </c>
      <c r="J30" s="37">
        <f t="shared" si="2"/>
        <v>0</v>
      </c>
      <c r="K30" s="37">
        <f>SUM(K31:K39)</f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 hidden="1">
      <c r="C31" s="7" t="s">
        <v>19</v>
      </c>
      <c r="D31" s="5"/>
      <c r="E31" s="6"/>
      <c r="F31" s="6"/>
      <c r="G31" s="34">
        <f>'zero based budget'!G30-'updated budget'!G31</f>
        <v>0</v>
      </c>
      <c r="H31" s="34">
        <f>'zero based budget'!H30-'updated budget'!H31</f>
        <v>0</v>
      </c>
      <c r="I31" s="34">
        <f>'zero based budget'!I30-'updated budget'!I31</f>
        <v>0</v>
      </c>
      <c r="J31" s="34">
        <f>'zero based budget'!J30-'updated budget'!J31</f>
        <v>0</v>
      </c>
      <c r="K31" s="34">
        <f>'zero based budget'!K30-'updated budget'!K31</f>
        <v>0</v>
      </c>
      <c r="L31" s="6"/>
      <c r="M31" s="6"/>
      <c r="N31" s="6"/>
      <c r="O31" s="6"/>
      <c r="P31" s="5"/>
    </row>
    <row r="32" spans="1:16" hidden="1">
      <c r="C32" s="5" t="s">
        <v>20</v>
      </c>
      <c r="D32" s="5"/>
      <c r="E32" s="6"/>
      <c r="F32" s="6"/>
      <c r="G32" s="34">
        <f>'zero based budget'!G31-'updated budget'!G32</f>
        <v>0</v>
      </c>
      <c r="H32" s="34">
        <f>'zero based budget'!H31-'updated budget'!H32</f>
        <v>0</v>
      </c>
      <c r="I32" s="34">
        <f>'zero based budget'!I31-'updated budget'!I32</f>
        <v>0</v>
      </c>
      <c r="J32" s="34">
        <f>'zero based budget'!J31-'updated budget'!J32</f>
        <v>0</v>
      </c>
      <c r="K32" s="34">
        <f>'zero based budget'!K31-'updated budget'!K32</f>
        <v>0</v>
      </c>
      <c r="L32" s="6"/>
      <c r="M32" s="6"/>
      <c r="N32" s="6"/>
      <c r="O32" s="6"/>
      <c r="P32" s="5"/>
    </row>
    <row r="33" spans="2:16" hidden="1">
      <c r="C33" s="5" t="s">
        <v>21</v>
      </c>
      <c r="D33" s="5"/>
      <c r="E33" s="6"/>
      <c r="F33" s="6"/>
      <c r="G33" s="34">
        <f>'zero based budget'!G32-'updated budget'!G33</f>
        <v>0</v>
      </c>
      <c r="H33" s="34">
        <f>'zero based budget'!H32-'updated budget'!H33</f>
        <v>0</v>
      </c>
      <c r="I33" s="34">
        <f>'zero based budget'!I32-'updated budget'!I33</f>
        <v>0</v>
      </c>
      <c r="J33" s="34">
        <f>'zero based budget'!J32-'updated budget'!J33</f>
        <v>0</v>
      </c>
      <c r="K33" s="34">
        <f>'zero based budget'!K32-'updated budget'!K33</f>
        <v>0</v>
      </c>
      <c r="L33" s="6"/>
      <c r="M33" s="6"/>
      <c r="N33" s="6"/>
      <c r="O33" s="6"/>
      <c r="P33" s="5"/>
    </row>
    <row r="34" spans="2:16" hidden="1">
      <c r="C34" s="5" t="s">
        <v>22</v>
      </c>
      <c r="D34" s="5"/>
      <c r="E34" s="6"/>
      <c r="F34" s="6"/>
      <c r="G34" s="34">
        <f>'zero based budget'!G33-'updated budget'!G34</f>
        <v>0</v>
      </c>
      <c r="H34" s="34">
        <f>'zero based budget'!H33-'updated budget'!H34</f>
        <v>0</v>
      </c>
      <c r="I34" s="34">
        <f>'zero based budget'!I33-'updated budget'!I34</f>
        <v>0</v>
      </c>
      <c r="J34" s="34">
        <f>'zero based budget'!J33-'updated budget'!J34</f>
        <v>0</v>
      </c>
      <c r="K34" s="34">
        <f>'zero based budget'!K33-'updated budget'!K34</f>
        <v>0</v>
      </c>
      <c r="L34" s="6"/>
      <c r="M34" s="6"/>
      <c r="N34" s="6"/>
      <c r="O34" s="6"/>
      <c r="P34" s="5"/>
    </row>
    <row r="35" spans="2:16" hidden="1">
      <c r="C35" s="5" t="s">
        <v>23</v>
      </c>
      <c r="D35" s="5"/>
      <c r="E35" s="6"/>
      <c r="F35" s="6"/>
      <c r="G35" s="34">
        <f>'zero based budget'!G34-'updated budget'!G35</f>
        <v>0</v>
      </c>
      <c r="H35" s="34">
        <f>'zero based budget'!H34-'updated budget'!H35</f>
        <v>0</v>
      </c>
      <c r="I35" s="34">
        <f>'zero based budget'!I34-'updated budget'!I35</f>
        <v>0</v>
      </c>
      <c r="J35" s="34">
        <f>'zero based budget'!J34-'updated budget'!J35</f>
        <v>0</v>
      </c>
      <c r="K35" s="34">
        <f>'zero based budget'!K34-'updated budget'!K35</f>
        <v>0</v>
      </c>
      <c r="L35" s="6"/>
      <c r="M35" s="6"/>
      <c r="N35" s="6"/>
      <c r="O35" s="6"/>
      <c r="P35" s="5"/>
    </row>
    <row r="36" spans="2:16" hidden="1">
      <c r="C36" s="5" t="s">
        <v>24</v>
      </c>
      <c r="D36" s="5"/>
      <c r="E36" s="6"/>
      <c r="F36" s="6"/>
      <c r="G36" s="34">
        <f>'zero based budget'!G35-'updated budget'!G36</f>
        <v>0</v>
      </c>
      <c r="H36" s="34">
        <f>'zero based budget'!H35-'updated budget'!H36</f>
        <v>0</v>
      </c>
      <c r="I36" s="34">
        <f>'zero based budget'!I35-'updated budget'!I36</f>
        <v>0</v>
      </c>
      <c r="J36" s="34">
        <f>'zero based budget'!J35-'updated budget'!J36</f>
        <v>0</v>
      </c>
      <c r="K36" s="34">
        <f>'zero based budget'!K35-'updated budget'!K36</f>
        <v>0</v>
      </c>
      <c r="L36" s="6"/>
      <c r="M36" s="6"/>
      <c r="N36" s="6"/>
      <c r="O36" s="6"/>
      <c r="P36" s="5"/>
    </row>
    <row r="37" spans="2:16" hidden="1">
      <c r="C37" s="5" t="s">
        <v>29</v>
      </c>
      <c r="D37" s="5"/>
      <c r="E37" s="6"/>
      <c r="F37" s="6"/>
      <c r="G37" s="34">
        <f>'zero based budget'!G36-'updated budget'!G37</f>
        <v>0</v>
      </c>
      <c r="H37" s="34">
        <f>'zero based budget'!H36-'updated budget'!H37</f>
        <v>0</v>
      </c>
      <c r="I37" s="34">
        <f>'zero based budget'!I36-'updated budget'!I37</f>
        <v>0</v>
      </c>
      <c r="J37" s="34">
        <f>'zero based budget'!J36-'updated budget'!J37</f>
        <v>0</v>
      </c>
      <c r="K37" s="34">
        <f>'zero based budget'!K36-'updated budget'!K37</f>
        <v>0</v>
      </c>
      <c r="L37" s="6"/>
      <c r="M37" s="6"/>
      <c r="N37" s="6"/>
      <c r="O37" s="6"/>
      <c r="P37" s="5"/>
    </row>
    <row r="38" spans="2:16" hidden="1">
      <c r="C38" s="5" t="s">
        <v>7</v>
      </c>
      <c r="D38" s="5"/>
      <c r="E38" s="6"/>
      <c r="F38" s="6"/>
      <c r="G38" s="34">
        <f>'zero based budget'!G37-'updated budget'!G38</f>
        <v>0</v>
      </c>
      <c r="H38" s="34">
        <f>'zero based budget'!H37-'updated budget'!H38</f>
        <v>0</v>
      </c>
      <c r="I38" s="34">
        <f>'zero based budget'!I37-'updated budget'!I38</f>
        <v>0</v>
      </c>
      <c r="J38" s="34">
        <f>'zero based budget'!J37-'updated budget'!J38</f>
        <v>0</v>
      </c>
      <c r="K38" s="34">
        <f>'zero based budget'!K37-'updated budget'!K38</f>
        <v>0</v>
      </c>
      <c r="L38" s="6"/>
      <c r="M38" s="6"/>
      <c r="N38" s="6"/>
      <c r="O38" s="6"/>
      <c r="P38" s="5"/>
    </row>
    <row r="39" spans="2:16" hidden="1">
      <c r="C39" s="5" t="s">
        <v>34</v>
      </c>
      <c r="D39" s="5"/>
      <c r="E39" s="6"/>
      <c r="F39" s="6"/>
      <c r="G39" s="34">
        <f>'zero based budget'!G38-'updated budget'!G39</f>
        <v>0</v>
      </c>
      <c r="H39" s="34">
        <f>'zero based budget'!H38-'updated budget'!H39</f>
        <v>0</v>
      </c>
      <c r="I39" s="34">
        <f>'zero based budget'!I38-'updated budget'!I39</f>
        <v>0</v>
      </c>
      <c r="J39" s="34">
        <f>'zero based budget'!J38-'updated budget'!J39</f>
        <v>0</v>
      </c>
      <c r="K39" s="34">
        <f>'zero based budget'!K38-'updated budget'!K39</f>
        <v>0</v>
      </c>
      <c r="L39" s="6"/>
      <c r="M39" s="6"/>
      <c r="N39" s="6"/>
      <c r="O39" s="6"/>
      <c r="P39" s="5"/>
    </row>
    <row r="40" spans="2:16" hidden="1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37">
        <f t="shared" si="3"/>
        <v>0</v>
      </c>
      <c r="H40" s="37">
        <f t="shared" si="3"/>
        <v>0</v>
      </c>
      <c r="I40" s="37">
        <f t="shared" si="3"/>
        <v>0</v>
      </c>
      <c r="J40" s="37">
        <f t="shared" si="3"/>
        <v>0</v>
      </c>
      <c r="K40" s="37">
        <f>SUM(K41:K48)</f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 hidden="1">
      <c r="C41" s="5" t="s">
        <v>25</v>
      </c>
      <c r="D41" s="5"/>
      <c r="E41" s="6"/>
      <c r="F41" s="6"/>
      <c r="G41" s="34">
        <f>'zero based budget'!G40-'updated budget'!G41</f>
        <v>0</v>
      </c>
      <c r="H41" s="34">
        <f>'zero based budget'!H40-'updated budget'!H41</f>
        <v>0</v>
      </c>
      <c r="I41" s="34">
        <f>'zero based budget'!I40-'updated budget'!I41</f>
        <v>0</v>
      </c>
      <c r="J41" s="34">
        <f>'zero based budget'!J40-'updated budget'!J41</f>
        <v>0</v>
      </c>
      <c r="K41" s="34">
        <f>'zero based budget'!K40-'updated budget'!K41</f>
        <v>0</v>
      </c>
      <c r="L41" s="6"/>
      <c r="M41" s="6"/>
      <c r="N41" s="6"/>
      <c r="O41" s="6"/>
      <c r="P41" s="5"/>
    </row>
    <row r="42" spans="2:16" hidden="1">
      <c r="C42" s="5" t="s">
        <v>26</v>
      </c>
      <c r="E42" s="1"/>
      <c r="F42" s="1"/>
      <c r="G42" s="34">
        <f>'zero based budget'!G41-'updated budget'!G42</f>
        <v>0</v>
      </c>
      <c r="H42" s="34">
        <f>'zero based budget'!H41-'updated budget'!H42</f>
        <v>0</v>
      </c>
      <c r="I42" s="34">
        <f>'zero based budget'!I41-'updated budget'!I42</f>
        <v>0</v>
      </c>
      <c r="J42" s="34">
        <f>'zero based budget'!J41-'updated budget'!J42</f>
        <v>0</v>
      </c>
      <c r="K42" s="34">
        <f>'zero based budget'!K41-'updated budget'!K42</f>
        <v>0</v>
      </c>
      <c r="L42" s="1"/>
      <c r="M42" s="1"/>
      <c r="N42" s="1"/>
      <c r="O42" s="1"/>
      <c r="P42" s="5"/>
    </row>
    <row r="43" spans="2:16" hidden="1">
      <c r="C43" s="5" t="s">
        <v>9</v>
      </c>
      <c r="E43" s="1"/>
      <c r="F43" s="1"/>
      <c r="G43" s="34">
        <f>'zero based budget'!G42-'updated budget'!G43</f>
        <v>0</v>
      </c>
      <c r="H43" s="34">
        <f>'zero based budget'!H42-'updated budget'!H43</f>
        <v>0</v>
      </c>
      <c r="I43" s="34">
        <f>'zero based budget'!I42-'updated budget'!I43</f>
        <v>0</v>
      </c>
      <c r="J43" s="34">
        <f>'zero based budget'!J42-'updated budget'!J43</f>
        <v>0</v>
      </c>
      <c r="K43" s="34">
        <f>'zero based budget'!K42-'updated budget'!K43</f>
        <v>0</v>
      </c>
      <c r="L43" s="1"/>
      <c r="M43" s="1"/>
      <c r="N43" s="1"/>
      <c r="O43" s="1"/>
      <c r="P43" s="5"/>
    </row>
    <row r="44" spans="2:16" hidden="1">
      <c r="C44" s="5" t="s">
        <v>27</v>
      </c>
      <c r="E44" s="1"/>
      <c r="F44" s="1"/>
      <c r="G44" s="34">
        <f>'zero based budget'!G43-'updated budget'!G44</f>
        <v>0</v>
      </c>
      <c r="H44" s="34">
        <f>'zero based budget'!H43-'updated budget'!H44</f>
        <v>0</v>
      </c>
      <c r="I44" s="34">
        <f>'zero based budget'!I43-'updated budget'!I44</f>
        <v>0</v>
      </c>
      <c r="J44" s="34">
        <f>'zero based budget'!J43-'updated budget'!J44</f>
        <v>0</v>
      </c>
      <c r="K44" s="34">
        <f>'zero based budget'!K43-'updated budget'!K44</f>
        <v>0</v>
      </c>
      <c r="L44" s="1"/>
      <c r="M44" s="1"/>
      <c r="N44" s="1"/>
      <c r="O44" s="1"/>
      <c r="P44" s="5"/>
    </row>
    <row r="45" spans="2:16" hidden="1">
      <c r="C45" s="5" t="s">
        <v>21</v>
      </c>
      <c r="E45" s="1"/>
      <c r="F45" s="1"/>
      <c r="G45" s="34">
        <f>'zero based budget'!G44-'updated budget'!G45</f>
        <v>0</v>
      </c>
      <c r="H45" s="34">
        <f>'zero based budget'!H44-'updated budget'!H45</f>
        <v>0</v>
      </c>
      <c r="I45" s="34">
        <f>'zero based budget'!I44-'updated budget'!I45</f>
        <v>0</v>
      </c>
      <c r="J45" s="34">
        <f>'zero based budget'!J44-'updated budget'!J45</f>
        <v>0</v>
      </c>
      <c r="K45" s="34">
        <f>'zero based budget'!K44-'updated budget'!K45</f>
        <v>0</v>
      </c>
      <c r="L45" s="1"/>
      <c r="M45" s="1"/>
      <c r="N45" s="1"/>
      <c r="O45" s="1"/>
      <c r="P45" s="5"/>
    </row>
    <row r="46" spans="2:16" hidden="1">
      <c r="C46" s="5" t="s">
        <v>19</v>
      </c>
      <c r="E46" s="1"/>
      <c r="F46" s="1"/>
      <c r="G46" s="34">
        <f>'zero based budget'!G45-'updated budget'!G46</f>
        <v>0</v>
      </c>
      <c r="H46" s="34">
        <f>'zero based budget'!H45-'updated budget'!H46</f>
        <v>0</v>
      </c>
      <c r="I46" s="34">
        <f>'zero based budget'!I45-'updated budget'!I46</f>
        <v>0</v>
      </c>
      <c r="J46" s="34">
        <f>'zero based budget'!J45-'updated budget'!J46</f>
        <v>0</v>
      </c>
      <c r="K46" s="34">
        <f>'zero based budget'!K45-'updated budget'!K46</f>
        <v>0</v>
      </c>
      <c r="L46" s="1"/>
      <c r="M46" s="1"/>
      <c r="N46" s="1"/>
      <c r="O46" s="1"/>
      <c r="P46" s="5"/>
    </row>
    <row r="47" spans="2:16" hidden="1">
      <c r="C47" s="5" t="s">
        <v>30</v>
      </c>
      <c r="E47" s="1"/>
      <c r="F47" s="1"/>
      <c r="G47" s="34">
        <f>'zero based budget'!G46-'updated budget'!G47</f>
        <v>0</v>
      </c>
      <c r="H47" s="34">
        <f>'zero based budget'!H46-'updated budget'!H47</f>
        <v>0</v>
      </c>
      <c r="I47" s="34">
        <f>'zero based budget'!I46-'updated budget'!I47</f>
        <v>0</v>
      </c>
      <c r="J47" s="34">
        <f>'zero based budget'!J46-'updated budget'!J47</f>
        <v>0</v>
      </c>
      <c r="K47" s="34">
        <f>'zero based budget'!K46-'updated budget'!K47</f>
        <v>0</v>
      </c>
      <c r="L47" s="1"/>
      <c r="M47" s="1"/>
      <c r="N47" s="1"/>
      <c r="O47" s="1"/>
      <c r="P47" s="5"/>
    </row>
    <row r="48" spans="2:16" hidden="1">
      <c r="C48" s="5" t="s">
        <v>10</v>
      </c>
      <c r="E48" s="1"/>
      <c r="F48" s="1"/>
      <c r="G48" s="34">
        <f>'zero based budget'!G47-'updated budget'!G48</f>
        <v>0</v>
      </c>
      <c r="H48" s="34">
        <f>'zero based budget'!H47-'updated budget'!H48</f>
        <v>0</v>
      </c>
      <c r="I48" s="34">
        <f>'zero based budget'!I47-'updated budget'!I48</f>
        <v>0</v>
      </c>
      <c r="J48" s="34">
        <f>'zero based budget'!J47-'updated budget'!J48</f>
        <v>0</v>
      </c>
      <c r="K48" s="34">
        <f>'zero based budget'!K47-'updated budget'!K48</f>
        <v>0</v>
      </c>
      <c r="L48" s="1"/>
      <c r="M48" s="1"/>
      <c r="N48" s="1"/>
      <c r="O48" s="1"/>
      <c r="P48" s="5"/>
    </row>
    <row r="49" spans="2:16">
      <c r="C49" s="5"/>
      <c r="E49" s="1"/>
      <c r="F49" s="1"/>
      <c r="G49" s="21"/>
      <c r="H49" s="21"/>
      <c r="I49" s="21"/>
      <c r="J49" s="21"/>
      <c r="K49" s="21"/>
      <c r="L49" s="1"/>
      <c r="M49" s="1"/>
      <c r="N49" s="1"/>
      <c r="O49" s="1"/>
      <c r="P49" s="5"/>
    </row>
    <row r="50" spans="2:16">
      <c r="B50" s="2" t="s">
        <v>436</v>
      </c>
      <c r="E50" s="4">
        <f t="shared" ref="E50:N50" si="4">E19-E8+E40-E30</f>
        <v>0</v>
      </c>
      <c r="F50" s="4">
        <f t="shared" si="4"/>
        <v>0</v>
      </c>
      <c r="G50" s="37">
        <f t="shared" si="4"/>
        <v>-298.67000000000007</v>
      </c>
      <c r="H50" s="37">
        <f t="shared" si="4"/>
        <v>-305.46825000000024</v>
      </c>
      <c r="I50" s="37">
        <f t="shared" si="4"/>
        <v>-312.42308625000038</v>
      </c>
      <c r="J50" s="37">
        <f t="shared" si="4"/>
        <v>-319.53815600625063</v>
      </c>
      <c r="K50" s="37">
        <f>K19-K8+K40-K30</f>
        <v>-326.81719235840694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E51" s="1"/>
      <c r="F51" s="1"/>
      <c r="G51" s="21"/>
      <c r="H51" s="21"/>
      <c r="I51" s="21"/>
      <c r="J51" s="21"/>
      <c r="K51" s="21"/>
      <c r="L51" s="1"/>
      <c r="M51" s="1"/>
      <c r="N51" s="1"/>
      <c r="O51" s="1"/>
      <c r="P51" s="5"/>
    </row>
    <row r="52" spans="2:16" ht="15" customHeight="1">
      <c r="B52" t="s">
        <v>12</v>
      </c>
      <c r="C52" s="234" t="s">
        <v>9</v>
      </c>
      <c r="D52" s="234"/>
      <c r="E52" s="296">
        <f t="shared" ref="E52:N52" si="5">-E22-E43</f>
        <v>0</v>
      </c>
      <c r="F52" s="296">
        <f t="shared" si="5"/>
        <v>0</v>
      </c>
      <c r="G52" s="297">
        <f t="shared" si="5"/>
        <v>0</v>
      </c>
      <c r="H52" s="297">
        <f t="shared" si="5"/>
        <v>0</v>
      </c>
      <c r="I52" s="297">
        <f t="shared" si="5"/>
        <v>0</v>
      </c>
      <c r="J52" s="297">
        <f t="shared" si="5"/>
        <v>0</v>
      </c>
      <c r="K52" s="297">
        <f>-K22-K43</f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 ht="15" customHeight="1">
      <c r="B53" t="s">
        <v>14</v>
      </c>
      <c r="C53" s="243" t="s">
        <v>15</v>
      </c>
      <c r="D53" s="243"/>
      <c r="E53" s="298"/>
      <c r="F53" s="298"/>
      <c r="G53" s="299" t="e">
        <f>'zero based budget'!G52-'updated budget'!G53</f>
        <v>#REF!</v>
      </c>
      <c r="H53" s="299" t="e">
        <f>'zero based budget'!H52-'updated budget'!H53</f>
        <v>#REF!</v>
      </c>
      <c r="I53" s="299" t="e">
        <f>'zero based budget'!I52-'updated budget'!I53</f>
        <v>#REF!</v>
      </c>
      <c r="J53" s="299" t="e">
        <f>'zero based budget'!J52-'updated budget'!J53</f>
        <v>#REF!</v>
      </c>
      <c r="K53" s="299" t="e">
        <f>'zero based budget'!K52-'updated budget'!K53</f>
        <v>#REF!</v>
      </c>
      <c r="L53" s="6"/>
      <c r="M53" s="6"/>
      <c r="N53" s="6"/>
      <c r="O53" s="6"/>
      <c r="P53" s="5"/>
    </row>
    <row r="54" spans="2:16">
      <c r="E54" s="1"/>
      <c r="F54" s="1"/>
      <c r="G54" s="21"/>
      <c r="H54" s="21"/>
      <c r="I54" s="21"/>
      <c r="J54" s="21"/>
      <c r="K54" s="21"/>
      <c r="L54" s="1"/>
      <c r="M54" s="1"/>
      <c r="N54" s="1"/>
      <c r="O54" s="1"/>
      <c r="P54" s="5"/>
    </row>
    <row r="55" spans="2:16">
      <c r="B55" s="2" t="s">
        <v>390</v>
      </c>
      <c r="E55" s="4">
        <f t="shared" ref="E55:N55" si="6">E50+E52+E53</f>
        <v>0</v>
      </c>
      <c r="F55" s="4">
        <f t="shared" si="6"/>
        <v>0</v>
      </c>
      <c r="G55" s="37" t="e">
        <f t="shared" si="6"/>
        <v>#REF!</v>
      </c>
      <c r="H55" s="37" t="e">
        <f t="shared" si="6"/>
        <v>#REF!</v>
      </c>
      <c r="I55" s="37" t="e">
        <f t="shared" si="6"/>
        <v>#REF!</v>
      </c>
      <c r="J55" s="37" t="e">
        <f t="shared" si="6"/>
        <v>#REF!</v>
      </c>
      <c r="K55" s="37" t="e">
        <f>K50+K52+K53</f>
        <v>#REF!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>
      <c r="E56" s="1"/>
      <c r="F56" s="1"/>
      <c r="G56" s="21"/>
      <c r="H56" s="21"/>
      <c r="I56" s="21"/>
      <c r="J56" s="21"/>
      <c r="K56" s="21"/>
      <c r="L56" s="1"/>
      <c r="M56" s="1"/>
      <c r="N56" s="1"/>
      <c r="O56" s="1"/>
    </row>
    <row r="57" spans="2:16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37" t="e">
        <f t="shared" si="7"/>
        <v>#REF!</v>
      </c>
      <c r="H57" s="37" t="e">
        <f t="shared" si="7"/>
        <v>#REF!</v>
      </c>
      <c r="I57" s="37" t="e">
        <f t="shared" si="7"/>
        <v>#REF!</v>
      </c>
      <c r="J57" s="37" t="e">
        <f t="shared" si="7"/>
        <v>#REF!</v>
      </c>
      <c r="K57" s="37" t="e">
        <f>K19+K52+K53+K40</f>
        <v>#REF!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>
      <c r="G58" s="61"/>
      <c r="H58" s="61"/>
      <c r="I58" s="61"/>
      <c r="J58" s="61"/>
      <c r="K58" s="61"/>
    </row>
  </sheetData>
  <mergeCells count="1">
    <mergeCell ref="B1:K1"/>
  </mergeCells>
  <phoneticPr fontId="4" type="noConversion"/>
  <pageMargins left="0.75" right="0.75" top="1" bottom="1" header="0.5" footer="0.5"/>
  <pageSetup paperSize="9" scale="84" orientation="portrait" horizontalDpi="4294967293"/>
  <headerFooter alignWithMargins="0">
    <oddFooter>&amp;L&amp;"Arial,Bold"&amp;12&amp;F&amp;C&amp;A&amp;R&amp;D&amp;T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57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Proposal #4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16</v>
      </c>
      <c r="C3" s="2" t="s">
        <v>57</v>
      </c>
      <c r="D3" s="2"/>
    </row>
    <row r="4" spans="1:16">
      <c r="B4" t="s">
        <v>1</v>
      </c>
      <c r="C4" s="2" t="s">
        <v>31</v>
      </c>
      <c r="D4" s="2"/>
    </row>
    <row r="5" spans="1:16">
      <c r="B5" t="s">
        <v>64</v>
      </c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ht="12.75" customHeight="1">
      <c r="A18" s="11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6" ht="12.75" customHeight="1">
      <c r="A28" s="11"/>
    </row>
    <row r="29" spans="1:16" ht="16">
      <c r="A29" s="11" t="s">
        <v>36</v>
      </c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7" spans="2:16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57"/>
  <sheetViews>
    <sheetView workbookViewId="0">
      <pane xSplit="4" ySplit="6" topLeftCell="E35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Proposal #5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16</v>
      </c>
      <c r="C3" s="2" t="s">
        <v>58</v>
      </c>
      <c r="D3" s="2"/>
    </row>
    <row r="4" spans="1:16">
      <c r="B4" t="s">
        <v>1</v>
      </c>
      <c r="C4" s="2" t="s">
        <v>31</v>
      </c>
      <c r="D4" s="2"/>
    </row>
    <row r="5" spans="1:16">
      <c r="B5" t="s">
        <v>64</v>
      </c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ht="12.75" customHeight="1">
      <c r="A18" s="11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6" ht="12.75" customHeight="1">
      <c r="A28" s="11"/>
    </row>
    <row r="29" spans="1:16" ht="16">
      <c r="A29" s="11" t="s">
        <v>36</v>
      </c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7" spans="2:16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57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Proposal #6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16</v>
      </c>
      <c r="C3" s="2" t="s">
        <v>59</v>
      </c>
      <c r="D3" s="2"/>
    </row>
    <row r="4" spans="1:16">
      <c r="B4" t="s">
        <v>1</v>
      </c>
      <c r="C4" s="2" t="s">
        <v>31</v>
      </c>
      <c r="D4" s="2"/>
    </row>
    <row r="5" spans="1:16">
      <c r="B5" t="s">
        <v>64</v>
      </c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ht="12.75" customHeight="1">
      <c r="A18" s="11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6" ht="12.75" customHeight="1">
      <c r="A28" s="11"/>
    </row>
    <row r="29" spans="1:16" ht="16">
      <c r="A29" s="11" t="s">
        <v>36</v>
      </c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7" spans="2:16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57"/>
  <sheetViews>
    <sheetView workbookViewId="0">
      <pane xSplit="4" ySplit="6" topLeftCell="E35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Proposal #7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16</v>
      </c>
      <c r="C3" s="2" t="s">
        <v>60</v>
      </c>
      <c r="D3" s="2"/>
    </row>
    <row r="4" spans="1:16">
      <c r="B4" t="s">
        <v>1</v>
      </c>
      <c r="C4" s="2" t="s">
        <v>31</v>
      </c>
      <c r="D4" s="2"/>
    </row>
    <row r="5" spans="1:16">
      <c r="B5" t="s">
        <v>64</v>
      </c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ht="12.75" customHeight="1">
      <c r="A18" s="11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6" ht="12.75" customHeight="1">
      <c r="A28" s="11"/>
    </row>
    <row r="29" spans="1:16" ht="16">
      <c r="A29" s="11" t="s">
        <v>36</v>
      </c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7" spans="2:16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57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Proposal #8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16</v>
      </c>
      <c r="C3" s="2" t="s">
        <v>61</v>
      </c>
      <c r="D3" s="2"/>
    </row>
    <row r="4" spans="1:16">
      <c r="B4" t="s">
        <v>1</v>
      </c>
      <c r="C4" s="2" t="s">
        <v>31</v>
      </c>
      <c r="D4" s="2"/>
    </row>
    <row r="5" spans="1:16">
      <c r="B5" t="s">
        <v>64</v>
      </c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ht="12.75" customHeight="1">
      <c r="A18" s="11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6" ht="12.75" customHeight="1">
      <c r="A28" s="11"/>
    </row>
    <row r="29" spans="1:16" ht="16">
      <c r="A29" s="11" t="s">
        <v>36</v>
      </c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7" spans="2:16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57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Proposal #9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16</v>
      </c>
      <c r="C3" s="2" t="s">
        <v>62</v>
      </c>
      <c r="D3" s="2"/>
    </row>
    <row r="4" spans="1:16">
      <c r="B4" t="s">
        <v>1</v>
      </c>
      <c r="C4" s="2" t="s">
        <v>31</v>
      </c>
      <c r="D4" s="2"/>
    </row>
    <row r="5" spans="1:16">
      <c r="B5" t="s">
        <v>64</v>
      </c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ht="12.75" customHeight="1">
      <c r="A18" s="11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6" ht="12.75" customHeight="1">
      <c r="A28" s="11"/>
    </row>
    <row r="29" spans="1:16" ht="16">
      <c r="A29" s="11" t="s">
        <v>36</v>
      </c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7" spans="2:16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57"/>
  <sheetViews>
    <sheetView workbookViewId="0">
      <pane xSplit="4" ySplit="6" topLeftCell="E35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Proposal #10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16</v>
      </c>
      <c r="C3" s="2" t="s">
        <v>63</v>
      </c>
      <c r="D3" s="2"/>
    </row>
    <row r="4" spans="1:16">
      <c r="B4" t="s">
        <v>1</v>
      </c>
      <c r="C4" s="2" t="s">
        <v>31</v>
      </c>
      <c r="D4" s="2"/>
    </row>
    <row r="5" spans="1:16">
      <c r="B5" t="s">
        <v>64</v>
      </c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ht="12.75" customHeight="1">
      <c r="A18" s="11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6" ht="12.75" customHeight="1">
      <c r="A28" s="11"/>
    </row>
    <row r="29" spans="1:16" ht="16">
      <c r="A29" s="11" t="s">
        <v>36</v>
      </c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7" spans="2:16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56"/>
  <sheetViews>
    <sheetView showGridLines="0" workbookViewId="0">
      <selection activeCell="B1" sqref="B1:I56"/>
    </sheetView>
  </sheetViews>
  <sheetFormatPr baseColWidth="10" defaultColWidth="8.83203125" defaultRowHeight="13"/>
  <cols>
    <col min="1" max="1" width="3.33203125" customWidth="1"/>
    <col min="2" max="2" width="4.6640625" customWidth="1"/>
    <col min="4" max="4" width="28.1640625" style="18" customWidth="1"/>
    <col min="5" max="5" width="10.6640625" style="13" customWidth="1"/>
    <col min="6" max="6" width="10.6640625" customWidth="1"/>
    <col min="7" max="8" width="11" customWidth="1"/>
    <col min="9" max="9" width="34.33203125" customWidth="1"/>
    <col min="10" max="10" width="12" hidden="1" customWidth="1"/>
  </cols>
  <sheetData>
    <row r="1" spans="1:11" ht="16">
      <c r="B1" s="684" t="s">
        <v>67</v>
      </c>
      <c r="C1" s="684"/>
      <c r="D1" s="684"/>
      <c r="E1" s="684"/>
      <c r="F1" s="684"/>
      <c r="G1" s="684"/>
      <c r="H1" s="684"/>
      <c r="I1" s="684"/>
      <c r="J1" s="8"/>
      <c r="K1" s="8"/>
    </row>
    <row r="2" spans="1:11" ht="6" customHeight="1">
      <c r="E2" s="21"/>
      <c r="F2" s="1"/>
      <c r="G2" s="1"/>
      <c r="H2" s="1"/>
      <c r="I2" s="1"/>
      <c r="J2" s="1"/>
      <c r="K2" s="1"/>
    </row>
    <row r="3" spans="1:11" ht="56">
      <c r="C3" s="2"/>
      <c r="E3" s="687" t="s">
        <v>73</v>
      </c>
      <c r="F3" s="688"/>
      <c r="G3" s="44" t="s">
        <v>145</v>
      </c>
      <c r="H3" s="44" t="s">
        <v>144</v>
      </c>
      <c r="I3" s="3" t="s">
        <v>74</v>
      </c>
      <c r="J3" s="3" t="s">
        <v>116</v>
      </c>
      <c r="K3" s="3"/>
    </row>
    <row r="4" spans="1:11" ht="28">
      <c r="E4" s="50" t="s">
        <v>75</v>
      </c>
      <c r="F4" s="24" t="s">
        <v>76</v>
      </c>
    </row>
    <row r="5" spans="1:11" ht="6" customHeight="1">
      <c r="B5" s="2"/>
      <c r="E5" s="22"/>
      <c r="F5" s="19"/>
    </row>
    <row r="6" spans="1:11" hidden="1">
      <c r="A6" s="2"/>
      <c r="B6" s="2"/>
      <c r="E6" s="22"/>
      <c r="F6" s="19"/>
    </row>
    <row r="7" spans="1:11">
      <c r="B7" s="86" t="s">
        <v>25</v>
      </c>
      <c r="C7" s="87"/>
      <c r="D7" s="88"/>
      <c r="E7" s="89"/>
      <c r="F7" s="90"/>
      <c r="G7" s="87"/>
      <c r="H7" s="91">
        <f>SUM(H8:H13)</f>
        <v>713700</v>
      </c>
      <c r="I7" s="87"/>
      <c r="J7" s="87" t="s">
        <v>117</v>
      </c>
    </row>
    <row r="8" spans="1:11">
      <c r="B8" s="92"/>
      <c r="C8" s="93" t="s">
        <v>119</v>
      </c>
      <c r="D8" s="94"/>
      <c r="E8" s="95"/>
      <c r="F8" s="96"/>
      <c r="G8" s="93"/>
      <c r="H8" s="97"/>
      <c r="I8" s="93"/>
      <c r="J8" s="93"/>
    </row>
    <row r="9" spans="1:11">
      <c r="B9" s="92"/>
      <c r="C9" s="93"/>
      <c r="D9" s="168" t="s">
        <v>434</v>
      </c>
      <c r="E9" s="95">
        <f>'Staff establishment basic'!E7</f>
        <v>105000</v>
      </c>
      <c r="F9" s="96">
        <v>1</v>
      </c>
      <c r="G9" s="93"/>
      <c r="H9" s="98">
        <f>E9*F9</f>
        <v>105000</v>
      </c>
      <c r="I9" s="93"/>
      <c r="J9" s="93"/>
    </row>
    <row r="10" spans="1:11">
      <c r="B10" s="92"/>
      <c r="C10" s="93" t="s">
        <v>118</v>
      </c>
      <c r="D10" s="94"/>
      <c r="E10" s="95"/>
      <c r="F10" s="96"/>
      <c r="G10" s="93"/>
      <c r="H10" s="97"/>
      <c r="I10" s="93"/>
      <c r="J10" s="93"/>
    </row>
    <row r="11" spans="1:11">
      <c r="B11" s="92"/>
      <c r="C11" s="93"/>
      <c r="D11" s="168" t="s">
        <v>435</v>
      </c>
      <c r="E11" s="95">
        <f>'Staff establishment allowance'!E8</f>
        <v>80000</v>
      </c>
      <c r="F11" s="96">
        <v>6</v>
      </c>
      <c r="G11" s="93"/>
      <c r="H11" s="98">
        <f>E11*F11</f>
        <v>480000</v>
      </c>
      <c r="I11" s="93"/>
      <c r="J11" s="93"/>
    </row>
    <row r="12" spans="1:11">
      <c r="B12" s="92"/>
      <c r="C12" s="93" t="s">
        <v>147</v>
      </c>
      <c r="D12" s="94"/>
      <c r="E12" s="95"/>
      <c r="F12" s="99">
        <v>0.22</v>
      </c>
      <c r="G12" s="93"/>
      <c r="H12" s="98">
        <f>(H9+H11)*F12</f>
        <v>128700</v>
      </c>
      <c r="I12" s="93"/>
      <c r="J12" s="93"/>
    </row>
    <row r="13" spans="1:11">
      <c r="B13" s="92"/>
      <c r="C13" s="93"/>
      <c r="D13" s="94"/>
      <c r="E13" s="95"/>
      <c r="F13" s="96"/>
      <c r="G13" s="97"/>
      <c r="H13" s="97"/>
      <c r="I13" s="93"/>
      <c r="J13" s="93"/>
    </row>
    <row r="14" spans="1:11">
      <c r="B14" s="92"/>
      <c r="C14" s="93"/>
      <c r="D14" s="94"/>
      <c r="E14" s="95"/>
      <c r="F14" s="96"/>
      <c r="G14" s="97"/>
      <c r="H14" s="97"/>
      <c r="I14" s="93"/>
      <c r="J14" s="93"/>
    </row>
    <row r="15" spans="1:11">
      <c r="B15" s="92" t="s">
        <v>149</v>
      </c>
      <c r="C15" s="93"/>
      <c r="D15" s="94"/>
      <c r="E15" s="95"/>
      <c r="F15" s="96"/>
      <c r="G15" s="97"/>
      <c r="H15" s="97">
        <f>H16+H25</f>
        <v>1448970</v>
      </c>
      <c r="I15" s="93"/>
      <c r="J15" s="93"/>
    </row>
    <row r="16" spans="1:11">
      <c r="B16" s="100" t="s">
        <v>143</v>
      </c>
      <c r="C16" s="100"/>
      <c r="D16" s="101"/>
      <c r="E16" s="102"/>
      <c r="F16" s="103"/>
      <c r="G16" s="104"/>
      <c r="H16" s="104">
        <f>SUM(H17:H23)</f>
        <v>391370</v>
      </c>
      <c r="I16" s="93"/>
      <c r="J16" s="93"/>
    </row>
    <row r="17" spans="2:10">
      <c r="B17" s="92"/>
      <c r="C17" s="93" t="s">
        <v>68</v>
      </c>
      <c r="D17" s="94"/>
      <c r="E17" s="95">
        <v>500</v>
      </c>
      <c r="F17" s="96">
        <f>6*15</f>
        <v>90</v>
      </c>
      <c r="G17" s="97"/>
      <c r="H17" s="105">
        <f t="shared" ref="H17:H22" si="0">E17*F17</f>
        <v>45000</v>
      </c>
      <c r="I17" s="93" t="s">
        <v>437</v>
      </c>
      <c r="J17" s="93" t="s">
        <v>156</v>
      </c>
    </row>
    <row r="18" spans="2:10">
      <c r="B18" s="92"/>
      <c r="C18" s="93" t="s">
        <v>324</v>
      </c>
      <c r="D18" s="168"/>
      <c r="E18" s="95">
        <v>18000</v>
      </c>
      <c r="F18" s="96">
        <v>2</v>
      </c>
      <c r="G18" s="97"/>
      <c r="H18" s="105">
        <f t="shared" si="0"/>
        <v>36000</v>
      </c>
      <c r="I18" s="93" t="s">
        <v>380</v>
      </c>
      <c r="J18" s="93" t="s">
        <v>155</v>
      </c>
    </row>
    <row r="19" spans="2:10">
      <c r="B19" s="92"/>
      <c r="C19" t="s">
        <v>368</v>
      </c>
      <c r="D19" s="77"/>
      <c r="E19" s="182">
        <v>150</v>
      </c>
      <c r="F19" s="183">
        <v>200</v>
      </c>
      <c r="G19" s="42"/>
      <c r="H19" s="105">
        <f t="shared" si="0"/>
        <v>30000</v>
      </c>
      <c r="I19" s="93" t="s">
        <v>379</v>
      </c>
      <c r="J19" s="93" t="s">
        <v>155</v>
      </c>
    </row>
    <row r="20" spans="2:10">
      <c r="B20" s="92"/>
      <c r="C20" s="93" t="s">
        <v>429</v>
      </c>
      <c r="D20" s="168"/>
      <c r="E20" s="95">
        <v>300</v>
      </c>
      <c r="F20" s="96">
        <v>130</v>
      </c>
      <c r="G20" s="97"/>
      <c r="H20" s="105">
        <f t="shared" si="0"/>
        <v>39000</v>
      </c>
      <c r="I20" s="93"/>
      <c r="J20" s="93" t="s">
        <v>430</v>
      </c>
    </row>
    <row r="21" spans="2:10">
      <c r="B21" s="92"/>
      <c r="C21" s="93" t="s">
        <v>431</v>
      </c>
      <c r="D21" s="168"/>
      <c r="E21" s="95">
        <v>1000</v>
      </c>
      <c r="F21" s="96">
        <v>130</v>
      </c>
      <c r="G21" s="97"/>
      <c r="H21" s="105">
        <f t="shared" si="0"/>
        <v>130000</v>
      </c>
      <c r="I21" s="93"/>
      <c r="J21" s="93" t="s">
        <v>430</v>
      </c>
    </row>
    <row r="22" spans="2:10">
      <c r="B22" s="92"/>
      <c r="C22" s="110" t="s">
        <v>196</v>
      </c>
      <c r="D22" s="169"/>
      <c r="E22" s="111">
        <v>10000</v>
      </c>
      <c r="F22" s="112">
        <v>4</v>
      </c>
      <c r="G22" s="113"/>
      <c r="H22" s="59">
        <f t="shared" si="0"/>
        <v>40000</v>
      </c>
      <c r="I22" s="110" t="s">
        <v>197</v>
      </c>
      <c r="J22" s="110" t="s">
        <v>155</v>
      </c>
    </row>
    <row r="23" spans="2:10">
      <c r="B23" s="92"/>
      <c r="C23" s="93" t="s">
        <v>146</v>
      </c>
      <c r="D23" s="94"/>
      <c r="E23" s="95"/>
      <c r="F23" s="96"/>
      <c r="G23" s="97"/>
      <c r="H23" s="105">
        <f>H7*0.1</f>
        <v>71370</v>
      </c>
      <c r="I23" s="93" t="s">
        <v>369</v>
      </c>
      <c r="J23" s="93" t="s">
        <v>155</v>
      </c>
    </row>
    <row r="24" spans="2:10">
      <c r="B24" s="92"/>
      <c r="C24" s="93"/>
      <c r="D24" s="94"/>
      <c r="E24" s="95"/>
      <c r="F24" s="96"/>
      <c r="G24" s="97"/>
      <c r="H24" s="97"/>
      <c r="I24" s="93"/>
      <c r="J24" s="93"/>
    </row>
    <row r="25" spans="2:10">
      <c r="B25" s="100" t="s">
        <v>142</v>
      </c>
      <c r="C25" s="100"/>
      <c r="D25" s="101"/>
      <c r="E25" s="102"/>
      <c r="F25" s="103"/>
      <c r="G25" s="104">
        <f>SUM(G26:G44)</f>
        <v>52880</v>
      </c>
      <c r="H25" s="104">
        <f>SUM(H26:H44)</f>
        <v>1057600</v>
      </c>
      <c r="I25" s="93"/>
      <c r="J25" s="93"/>
    </row>
    <row r="26" spans="2:10">
      <c r="B26" s="92"/>
      <c r="C26" s="93" t="s">
        <v>120</v>
      </c>
      <c r="D26" s="94"/>
      <c r="E26" s="95">
        <v>300</v>
      </c>
      <c r="F26" s="96">
        <v>52</v>
      </c>
      <c r="G26" s="98">
        <f>E26*F26</f>
        <v>15600</v>
      </c>
      <c r="H26" s="98">
        <f>G26*20</f>
        <v>312000</v>
      </c>
      <c r="I26" s="93"/>
      <c r="J26" s="93" t="s">
        <v>152</v>
      </c>
    </row>
    <row r="27" spans="2:10">
      <c r="B27" s="92"/>
      <c r="C27" s="93" t="s">
        <v>129</v>
      </c>
      <c r="D27" s="94"/>
      <c r="E27" s="95">
        <v>50</v>
      </c>
      <c r="F27" s="96">
        <v>52</v>
      </c>
      <c r="G27" s="98">
        <f>E27*F27</f>
        <v>2600</v>
      </c>
      <c r="H27" s="98">
        <f t="shared" ref="H27:H44" si="1">G27*20</f>
        <v>52000</v>
      </c>
      <c r="I27" s="93"/>
      <c r="J27" s="93" t="s">
        <v>152</v>
      </c>
    </row>
    <row r="28" spans="2:10">
      <c r="B28" s="92"/>
      <c r="C28" s="93" t="s">
        <v>133</v>
      </c>
      <c r="D28" s="94"/>
      <c r="E28" s="95">
        <v>30</v>
      </c>
      <c r="F28" s="96">
        <v>52</v>
      </c>
      <c r="G28" s="98">
        <f>E28*F28</f>
        <v>1560</v>
      </c>
      <c r="H28" s="98">
        <f t="shared" si="1"/>
        <v>31200</v>
      </c>
      <c r="I28" s="93"/>
      <c r="J28" s="93" t="s">
        <v>152</v>
      </c>
    </row>
    <row r="29" spans="2:10">
      <c r="B29" s="92"/>
      <c r="C29" s="93" t="s">
        <v>125</v>
      </c>
      <c r="D29" s="94"/>
      <c r="E29" s="95"/>
      <c r="F29" s="96"/>
      <c r="G29" s="93"/>
      <c r="H29" s="98"/>
      <c r="I29" s="93"/>
      <c r="J29" s="93"/>
    </row>
    <row r="30" spans="2:10">
      <c r="B30" s="92"/>
      <c r="C30" s="93"/>
      <c r="D30" s="94" t="s">
        <v>130</v>
      </c>
      <c r="E30" s="95">
        <v>1200</v>
      </c>
      <c r="F30" s="96">
        <v>1</v>
      </c>
      <c r="G30" s="98">
        <f t="shared" ref="G30:G36" si="2">E30*F30</f>
        <v>1200</v>
      </c>
      <c r="H30" s="98">
        <f t="shared" si="1"/>
        <v>24000</v>
      </c>
      <c r="I30" s="93"/>
      <c r="J30" s="93" t="s">
        <v>153</v>
      </c>
    </row>
    <row r="31" spans="2:10">
      <c r="B31" s="92"/>
      <c r="C31" s="93"/>
      <c r="D31" s="94" t="s">
        <v>131</v>
      </c>
      <c r="E31" s="95">
        <v>800</v>
      </c>
      <c r="F31" s="96">
        <v>1</v>
      </c>
      <c r="G31" s="98">
        <f t="shared" si="2"/>
        <v>800</v>
      </c>
      <c r="H31" s="98">
        <f t="shared" si="1"/>
        <v>16000</v>
      </c>
      <c r="I31" s="93"/>
      <c r="J31" s="93" t="s">
        <v>153</v>
      </c>
    </row>
    <row r="32" spans="2:10">
      <c r="B32" s="92"/>
      <c r="C32" s="93"/>
      <c r="D32" s="94" t="s">
        <v>132</v>
      </c>
      <c r="E32" s="95">
        <v>600</v>
      </c>
      <c r="F32" s="96">
        <v>2</v>
      </c>
      <c r="G32" s="98">
        <f t="shared" si="2"/>
        <v>1200</v>
      </c>
      <c r="H32" s="98">
        <f t="shared" si="1"/>
        <v>24000</v>
      </c>
      <c r="I32" s="93"/>
      <c r="J32" s="93" t="s">
        <v>154</v>
      </c>
    </row>
    <row r="33" spans="2:10">
      <c r="B33" s="92"/>
      <c r="C33" s="93"/>
      <c r="D33" s="94" t="s">
        <v>121</v>
      </c>
      <c r="E33" s="95">
        <v>60</v>
      </c>
      <c r="F33" s="96">
        <v>52</v>
      </c>
      <c r="G33" s="98">
        <f t="shared" si="2"/>
        <v>3120</v>
      </c>
      <c r="H33" s="98">
        <f t="shared" si="1"/>
        <v>62400</v>
      </c>
      <c r="I33" s="93" t="s">
        <v>509</v>
      </c>
      <c r="J33" s="93" t="s">
        <v>152</v>
      </c>
    </row>
    <row r="34" spans="2:10">
      <c r="B34" s="92"/>
      <c r="C34" s="93" t="s">
        <v>122</v>
      </c>
      <c r="D34" s="94"/>
      <c r="E34" s="95">
        <v>100</v>
      </c>
      <c r="F34" s="96">
        <v>10</v>
      </c>
      <c r="G34" s="98">
        <f t="shared" si="2"/>
        <v>1000</v>
      </c>
      <c r="H34" s="98">
        <f t="shared" si="1"/>
        <v>20000</v>
      </c>
      <c r="I34" s="93" t="s">
        <v>332</v>
      </c>
      <c r="J34" s="93" t="s">
        <v>155</v>
      </c>
    </row>
    <row r="35" spans="2:10">
      <c r="B35" s="92"/>
      <c r="C35" s="93" t="s">
        <v>136</v>
      </c>
      <c r="D35" s="94"/>
      <c r="E35" s="95">
        <v>100</v>
      </c>
      <c r="F35" s="107">
        <v>12</v>
      </c>
      <c r="G35" s="98">
        <f t="shared" si="2"/>
        <v>1200</v>
      </c>
      <c r="H35" s="98">
        <f t="shared" si="1"/>
        <v>24000</v>
      </c>
      <c r="I35" s="93" t="s">
        <v>137</v>
      </c>
      <c r="J35" s="93" t="s">
        <v>155</v>
      </c>
    </row>
    <row r="36" spans="2:10">
      <c r="B36" s="92"/>
      <c r="C36" s="93" t="s">
        <v>138</v>
      </c>
      <c r="D36" s="94"/>
      <c r="E36" s="95">
        <v>100</v>
      </c>
      <c r="F36" s="96">
        <v>12</v>
      </c>
      <c r="G36" s="98">
        <f t="shared" si="2"/>
        <v>1200</v>
      </c>
      <c r="H36" s="98">
        <f t="shared" si="1"/>
        <v>24000</v>
      </c>
      <c r="I36" s="93"/>
      <c r="J36" s="93" t="s">
        <v>155</v>
      </c>
    </row>
    <row r="37" spans="2:10">
      <c r="B37" s="92"/>
      <c r="C37" s="93" t="s">
        <v>123</v>
      </c>
      <c r="D37" s="94"/>
      <c r="E37" s="95">
        <v>500</v>
      </c>
      <c r="F37" s="107">
        <v>4</v>
      </c>
      <c r="G37" s="98">
        <f t="shared" ref="G37:G44" si="3">E37*F37</f>
        <v>2000</v>
      </c>
      <c r="H37" s="98">
        <f t="shared" si="1"/>
        <v>40000</v>
      </c>
      <c r="I37" s="93"/>
      <c r="J37" s="108" t="s">
        <v>156</v>
      </c>
    </row>
    <row r="38" spans="2:10">
      <c r="B38" s="92"/>
      <c r="C38" s="93" t="s">
        <v>124</v>
      </c>
      <c r="D38" s="94"/>
      <c r="E38" s="95">
        <v>600</v>
      </c>
      <c r="F38" s="107">
        <v>4</v>
      </c>
      <c r="G38" s="98">
        <f t="shared" si="3"/>
        <v>2400</v>
      </c>
      <c r="H38" s="98">
        <f t="shared" si="1"/>
        <v>48000</v>
      </c>
      <c r="I38" s="93"/>
      <c r="J38" s="108" t="s">
        <v>156</v>
      </c>
    </row>
    <row r="39" spans="2:10">
      <c r="B39" s="92"/>
      <c r="C39" s="93" t="s">
        <v>126</v>
      </c>
      <c r="D39" s="94"/>
      <c r="E39" s="95">
        <v>300</v>
      </c>
      <c r="F39" s="107">
        <v>4</v>
      </c>
      <c r="G39" s="98">
        <f t="shared" si="3"/>
        <v>1200</v>
      </c>
      <c r="H39" s="98">
        <f t="shared" si="1"/>
        <v>24000</v>
      </c>
      <c r="I39" s="93"/>
      <c r="J39" s="108" t="s">
        <v>156</v>
      </c>
    </row>
    <row r="40" spans="2:10">
      <c r="B40" s="92"/>
      <c r="C40" s="93" t="s">
        <v>127</v>
      </c>
      <c r="D40" s="94"/>
      <c r="E40" s="95">
        <v>250</v>
      </c>
      <c r="F40" s="107">
        <v>4</v>
      </c>
      <c r="G40" s="98">
        <f t="shared" si="3"/>
        <v>1000</v>
      </c>
      <c r="H40" s="98">
        <f t="shared" si="1"/>
        <v>20000</v>
      </c>
      <c r="I40" s="93"/>
      <c r="J40" s="108" t="s">
        <v>156</v>
      </c>
    </row>
    <row r="41" spans="2:10">
      <c r="B41" s="92"/>
      <c r="C41" s="93" t="s">
        <v>128</v>
      </c>
      <c r="D41" s="94"/>
      <c r="E41" s="95">
        <v>100</v>
      </c>
      <c r="F41" s="107">
        <v>12</v>
      </c>
      <c r="G41" s="98">
        <f t="shared" si="3"/>
        <v>1200</v>
      </c>
      <c r="H41" s="98">
        <f t="shared" si="1"/>
        <v>24000</v>
      </c>
      <c r="I41" s="93"/>
      <c r="J41" s="108" t="s">
        <v>155</v>
      </c>
    </row>
    <row r="42" spans="2:10">
      <c r="B42" s="92"/>
      <c r="C42" s="93" t="s">
        <v>139</v>
      </c>
      <c r="D42" s="94"/>
      <c r="E42" s="95"/>
      <c r="F42" s="107"/>
      <c r="G42" s="106"/>
      <c r="H42" s="98"/>
      <c r="I42" s="93" t="s">
        <v>140</v>
      </c>
      <c r="J42" s="108"/>
    </row>
    <row r="43" spans="2:10">
      <c r="B43" s="92"/>
      <c r="C43" s="93"/>
      <c r="D43" s="94" t="s">
        <v>134</v>
      </c>
      <c r="E43" s="95">
        <v>200</v>
      </c>
      <c r="F43" s="107">
        <v>52</v>
      </c>
      <c r="G43" s="98">
        <f t="shared" si="3"/>
        <v>10400</v>
      </c>
      <c r="H43" s="98">
        <f t="shared" si="1"/>
        <v>208000</v>
      </c>
      <c r="I43" s="93"/>
      <c r="J43" s="108" t="s">
        <v>152</v>
      </c>
    </row>
    <row r="44" spans="2:10">
      <c r="B44" s="92"/>
      <c r="C44" s="93"/>
      <c r="D44" s="94" t="s">
        <v>135</v>
      </c>
      <c r="E44" s="95">
        <v>100</v>
      </c>
      <c r="F44" s="107">
        <v>52</v>
      </c>
      <c r="G44" s="98">
        <f t="shared" si="3"/>
        <v>5200</v>
      </c>
      <c r="H44" s="98">
        <f t="shared" si="1"/>
        <v>104000</v>
      </c>
      <c r="I44" s="93"/>
      <c r="J44" s="108" t="s">
        <v>152</v>
      </c>
    </row>
    <row r="45" spans="2:10">
      <c r="B45" s="92"/>
      <c r="C45" s="93"/>
      <c r="D45" s="94"/>
      <c r="E45" s="95"/>
      <c r="F45" s="96"/>
      <c r="G45" s="93"/>
      <c r="H45" s="93"/>
      <c r="I45" s="93"/>
      <c r="J45" s="93"/>
    </row>
    <row r="46" spans="2:10">
      <c r="B46" s="92" t="s">
        <v>325</v>
      </c>
      <c r="C46" s="93"/>
      <c r="D46" s="168"/>
      <c r="E46" s="95"/>
      <c r="F46" s="96"/>
      <c r="G46" s="93"/>
      <c r="H46" s="97">
        <f>H47+H48</f>
        <v>100000</v>
      </c>
      <c r="I46" s="93"/>
      <c r="J46" s="93"/>
    </row>
    <row r="47" spans="2:10">
      <c r="B47" s="92"/>
      <c r="C47" s="93" t="s">
        <v>326</v>
      </c>
      <c r="D47" s="168"/>
      <c r="E47" s="95">
        <v>3000</v>
      </c>
      <c r="F47" s="96">
        <v>20</v>
      </c>
      <c r="G47" s="97"/>
      <c r="H47" s="105">
        <f>E47*F47</f>
        <v>60000</v>
      </c>
      <c r="I47" s="93" t="s">
        <v>327</v>
      </c>
      <c r="J47" s="93" t="s">
        <v>328</v>
      </c>
    </row>
    <row r="48" spans="2:10">
      <c r="B48" s="92"/>
      <c r="C48" s="93" t="s">
        <v>329</v>
      </c>
      <c r="D48" s="168"/>
      <c r="E48" s="95">
        <v>2000</v>
      </c>
      <c r="F48" s="96">
        <v>20</v>
      </c>
      <c r="G48" s="97"/>
      <c r="H48" s="105">
        <f>E48*F48</f>
        <v>40000</v>
      </c>
      <c r="I48" s="93" t="s">
        <v>330</v>
      </c>
      <c r="J48" s="93" t="s">
        <v>331</v>
      </c>
    </row>
    <row r="49" spans="2:10">
      <c r="B49" s="92"/>
      <c r="C49" s="93"/>
      <c r="D49" s="168"/>
      <c r="E49" s="95"/>
      <c r="F49" s="96"/>
      <c r="G49" s="97"/>
      <c r="H49" s="105"/>
      <c r="I49" s="93"/>
      <c r="J49" s="93"/>
    </row>
    <row r="50" spans="2:10">
      <c r="B50" s="92" t="s">
        <v>141</v>
      </c>
      <c r="C50" s="93"/>
      <c r="D50" s="94"/>
      <c r="E50" s="95"/>
      <c r="F50" s="96"/>
      <c r="G50" s="93"/>
      <c r="H50" s="109">
        <f>SUM(H51:H52)</f>
        <v>36000</v>
      </c>
      <c r="I50" s="93"/>
      <c r="J50" s="93" t="s">
        <v>117</v>
      </c>
    </row>
    <row r="51" spans="2:10">
      <c r="B51" s="93"/>
      <c r="C51" s="93" t="s">
        <v>69</v>
      </c>
      <c r="D51" s="94"/>
      <c r="E51" s="95"/>
      <c r="F51" s="96"/>
      <c r="G51" s="93"/>
      <c r="H51" s="93"/>
      <c r="I51" s="93"/>
      <c r="J51" s="93"/>
    </row>
    <row r="52" spans="2:10">
      <c r="B52" s="93"/>
      <c r="C52" s="93"/>
      <c r="D52" s="94" t="s">
        <v>70</v>
      </c>
      <c r="E52" s="95">
        <v>6000</v>
      </c>
      <c r="F52" s="96">
        <v>6</v>
      </c>
      <c r="G52" s="93"/>
      <c r="H52" s="106">
        <f>E52*F52</f>
        <v>36000</v>
      </c>
      <c r="I52" s="93" t="s">
        <v>102</v>
      </c>
      <c r="J52" s="93" t="s">
        <v>155</v>
      </c>
    </row>
    <row r="53" spans="2:10">
      <c r="E53" s="51"/>
      <c r="F53" s="20"/>
    </row>
    <row r="54" spans="2:10" ht="14">
      <c r="E54" s="681" t="s">
        <v>661</v>
      </c>
      <c r="F54" s="403"/>
      <c r="G54" s="403"/>
      <c r="H54" s="682">
        <f>H46+H50+H15+H7</f>
        <v>2298670</v>
      </c>
    </row>
    <row r="55" spans="2:10" ht="14">
      <c r="E55" s="681" t="s">
        <v>662</v>
      </c>
      <c r="F55" s="403"/>
      <c r="G55" s="403"/>
      <c r="H55" s="683">
        <f>H54/20</f>
        <v>114933.5</v>
      </c>
    </row>
    <row r="56" spans="2:10" ht="14">
      <c r="E56" s="681" t="s">
        <v>663</v>
      </c>
      <c r="F56" s="403"/>
      <c r="G56" s="403"/>
      <c r="H56" s="682">
        <f>H54/130</f>
        <v>17682.076923076922</v>
      </c>
    </row>
  </sheetData>
  <mergeCells count="2">
    <mergeCell ref="B1:I1"/>
    <mergeCell ref="E3:F3"/>
  </mergeCells>
  <phoneticPr fontId="4" type="noConversion"/>
  <pageMargins left="0.75" right="0.75" top="1" bottom="1" header="0.5" footer="0.5"/>
  <pageSetup paperSize="9" scale="76" orientation="portrait" horizontalDpi="4294967293" verticalDpi="4294967293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2"/>
  <sheetViews>
    <sheetView showGridLines="0" workbookViewId="0">
      <selection activeCell="B1" sqref="B1:V56"/>
    </sheetView>
  </sheetViews>
  <sheetFormatPr baseColWidth="10" defaultColWidth="8.83203125" defaultRowHeight="13"/>
  <cols>
    <col min="1" max="1" width="5.5" customWidth="1"/>
    <col min="2" max="2" width="4.6640625" customWidth="1"/>
    <col min="4" max="4" width="28.1640625" style="18" customWidth="1"/>
    <col min="5" max="5" width="10.6640625" style="13" customWidth="1"/>
    <col min="6" max="6" width="10.6640625" customWidth="1"/>
    <col min="7" max="8" width="11" customWidth="1"/>
    <col min="9" max="9" width="30.6640625" hidden="1" customWidth="1"/>
    <col min="10" max="10" width="12.6640625" customWidth="1"/>
    <col min="11" max="11" width="11.6640625" bestFit="1" customWidth="1"/>
  </cols>
  <sheetData>
    <row r="1" spans="1:22" ht="16">
      <c r="B1" s="684" t="s">
        <v>67</v>
      </c>
      <c r="C1" s="684"/>
      <c r="D1" s="684"/>
      <c r="E1" s="684"/>
      <c r="F1" s="684"/>
      <c r="G1" s="684"/>
      <c r="H1" s="684"/>
      <c r="I1" s="684"/>
      <c r="J1" s="8"/>
      <c r="K1" s="8"/>
    </row>
    <row r="2" spans="1:22">
      <c r="E2" s="61"/>
      <c r="F2" s="10"/>
      <c r="G2" s="10"/>
      <c r="H2" s="10"/>
      <c r="I2" s="10"/>
      <c r="J2" s="10"/>
      <c r="K2" s="1"/>
    </row>
    <row r="3" spans="1:22" ht="56">
      <c r="C3" s="2"/>
      <c r="E3" s="687" t="s">
        <v>73</v>
      </c>
      <c r="F3" s="688"/>
      <c r="G3" s="44" t="s">
        <v>145</v>
      </c>
      <c r="H3" s="44" t="s">
        <v>144</v>
      </c>
      <c r="I3" s="3" t="s">
        <v>74</v>
      </c>
      <c r="J3" s="3" t="s">
        <v>116</v>
      </c>
      <c r="K3" s="30" t="s">
        <v>94</v>
      </c>
      <c r="L3" s="29" t="s">
        <v>95</v>
      </c>
      <c r="M3" s="56" t="s">
        <v>100</v>
      </c>
      <c r="N3" s="29" t="s">
        <v>96</v>
      </c>
      <c r="O3" s="30" t="s">
        <v>97</v>
      </c>
      <c r="P3" s="29" t="s">
        <v>98</v>
      </c>
      <c r="Q3" s="31" t="s">
        <v>110</v>
      </c>
      <c r="R3" s="29" t="s">
        <v>111</v>
      </c>
      <c r="S3" s="53" t="s">
        <v>112</v>
      </c>
      <c r="T3" s="29" t="s">
        <v>113</v>
      </c>
      <c r="U3" s="54" t="s">
        <v>114</v>
      </c>
      <c r="V3" s="29" t="s">
        <v>115</v>
      </c>
    </row>
    <row r="4" spans="1:22" ht="28">
      <c r="E4" s="50" t="s">
        <v>75</v>
      </c>
      <c r="F4" s="24" t="s">
        <v>76</v>
      </c>
      <c r="K4">
        <v>4</v>
      </c>
      <c r="L4">
        <v>4</v>
      </c>
      <c r="M4">
        <v>5</v>
      </c>
      <c r="N4">
        <v>4</v>
      </c>
      <c r="O4">
        <v>4</v>
      </c>
      <c r="P4">
        <v>5</v>
      </c>
      <c r="Q4">
        <v>4</v>
      </c>
      <c r="R4">
        <v>4</v>
      </c>
      <c r="S4">
        <v>5</v>
      </c>
      <c r="T4">
        <v>4</v>
      </c>
      <c r="U4">
        <v>4</v>
      </c>
      <c r="V4">
        <v>5</v>
      </c>
    </row>
    <row r="5" spans="1:22" hidden="1">
      <c r="B5" s="2"/>
      <c r="E5" s="22"/>
      <c r="F5" s="19"/>
    </row>
    <row r="6" spans="1:22">
      <c r="A6" s="2"/>
      <c r="B6" s="2"/>
      <c r="E6" s="22"/>
      <c r="F6" s="19"/>
      <c r="K6">
        <v>31</v>
      </c>
      <c r="L6">
        <v>31</v>
      </c>
      <c r="M6">
        <v>30</v>
      </c>
      <c r="N6">
        <v>31</v>
      </c>
      <c r="O6">
        <v>30</v>
      </c>
      <c r="P6">
        <v>31</v>
      </c>
      <c r="Q6">
        <v>31</v>
      </c>
      <c r="R6">
        <v>28</v>
      </c>
      <c r="S6">
        <v>31</v>
      </c>
      <c r="T6">
        <v>30</v>
      </c>
      <c r="U6">
        <v>31</v>
      </c>
      <c r="V6">
        <v>30</v>
      </c>
    </row>
    <row r="7" spans="1:22">
      <c r="B7" s="184" t="s">
        <v>25</v>
      </c>
      <c r="C7" s="185"/>
      <c r="D7" s="186"/>
      <c r="E7" s="187"/>
      <c r="F7" s="188"/>
      <c r="G7" s="185"/>
      <c r="H7" s="189">
        <f>SUM(H8:H13)</f>
        <v>616100</v>
      </c>
      <c r="I7" s="185"/>
      <c r="J7" s="185" t="s">
        <v>117</v>
      </c>
      <c r="K7" s="40">
        <f>$H7/365*K6</f>
        <v>52326.301369863009</v>
      </c>
      <c r="L7" s="40">
        <f t="shared" ref="L7:V7" si="0">$H7/365*L6</f>
        <v>52326.301369863009</v>
      </c>
      <c r="M7" s="40">
        <f t="shared" si="0"/>
        <v>50638.356164383556</v>
      </c>
      <c r="N7" s="40">
        <f t="shared" si="0"/>
        <v>52326.301369863009</v>
      </c>
      <c r="O7" s="40">
        <f t="shared" si="0"/>
        <v>50638.356164383556</v>
      </c>
      <c r="P7" s="40">
        <f t="shared" si="0"/>
        <v>52326.301369863009</v>
      </c>
      <c r="Q7" s="40">
        <f t="shared" si="0"/>
        <v>52326.301369863009</v>
      </c>
      <c r="R7" s="40">
        <f t="shared" si="0"/>
        <v>47262.465753424651</v>
      </c>
      <c r="S7" s="40">
        <f t="shared" si="0"/>
        <v>52326.301369863009</v>
      </c>
      <c r="T7" s="40">
        <f t="shared" si="0"/>
        <v>50638.356164383556</v>
      </c>
      <c r="U7" s="40">
        <f t="shared" si="0"/>
        <v>52326.301369863009</v>
      </c>
      <c r="V7" s="40">
        <f t="shared" si="0"/>
        <v>50638.356164383556</v>
      </c>
    </row>
    <row r="8" spans="1:22">
      <c r="B8" s="190"/>
      <c r="C8" s="191" t="s">
        <v>119</v>
      </c>
      <c r="D8" s="192"/>
      <c r="E8" s="182"/>
      <c r="F8" s="183"/>
      <c r="G8" s="191"/>
      <c r="H8" s="193"/>
      <c r="I8" s="191"/>
      <c r="J8" s="191"/>
    </row>
    <row r="9" spans="1:22">
      <c r="B9" s="190"/>
      <c r="C9" s="191"/>
      <c r="D9" s="168" t="s">
        <v>387</v>
      </c>
      <c r="E9" s="182">
        <f>'Staff establishment basic'!E7</f>
        <v>105000</v>
      </c>
      <c r="F9" s="194">
        <v>1</v>
      </c>
      <c r="G9" s="191"/>
      <c r="H9" s="195">
        <f>E9*F9</f>
        <v>105000</v>
      </c>
      <c r="I9" s="191"/>
      <c r="J9" s="191"/>
    </row>
    <row r="10" spans="1:22">
      <c r="B10" s="190"/>
      <c r="C10" s="191" t="s">
        <v>118</v>
      </c>
      <c r="D10" s="94"/>
      <c r="E10" s="182" t="s">
        <v>438</v>
      </c>
      <c r="F10" s="194"/>
      <c r="G10" s="191"/>
      <c r="H10" s="193"/>
      <c r="I10" s="191"/>
      <c r="J10" s="191"/>
    </row>
    <row r="11" spans="1:22">
      <c r="B11" s="190"/>
      <c r="C11" s="191"/>
      <c r="D11" s="168" t="s">
        <v>388</v>
      </c>
      <c r="E11" s="182">
        <f>'Staff establishment basic'!E9</f>
        <v>80000</v>
      </c>
      <c r="F11" s="196">
        <v>5</v>
      </c>
      <c r="G11" s="191"/>
      <c r="H11" s="195">
        <f>E11*F11</f>
        <v>400000</v>
      </c>
      <c r="I11" s="191"/>
      <c r="J11" s="191"/>
    </row>
    <row r="12" spans="1:22">
      <c r="B12" s="190"/>
      <c r="C12" s="191" t="s">
        <v>147</v>
      </c>
      <c r="D12" s="192"/>
      <c r="E12" s="182"/>
      <c r="F12" s="197">
        <v>0.22</v>
      </c>
      <c r="G12" s="191"/>
      <c r="H12" s="195">
        <f>(H9+H11)*F12</f>
        <v>111100</v>
      </c>
      <c r="I12" s="191"/>
      <c r="J12" s="191"/>
    </row>
    <row r="13" spans="1:22" hidden="1">
      <c r="B13" s="190"/>
      <c r="C13" s="191"/>
      <c r="D13" s="192"/>
      <c r="E13" s="182"/>
      <c r="F13" s="183"/>
      <c r="G13" s="193"/>
      <c r="H13" s="193"/>
      <c r="I13" s="191"/>
      <c r="J13" s="191"/>
    </row>
    <row r="14" spans="1:22">
      <c r="B14" s="190"/>
      <c r="C14" s="191"/>
      <c r="D14" s="192"/>
      <c r="E14" s="182"/>
      <c r="F14" s="183"/>
      <c r="G14" s="193"/>
      <c r="H14" s="193"/>
      <c r="I14" s="191"/>
      <c r="J14" s="191"/>
    </row>
    <row r="15" spans="1:22">
      <c r="B15" s="190" t="s">
        <v>149</v>
      </c>
      <c r="C15" s="191"/>
      <c r="D15" s="192"/>
      <c r="E15" s="182"/>
      <c r="F15" s="183"/>
      <c r="G15" s="193"/>
      <c r="H15" s="193">
        <f>H16+H25</f>
        <v>1245810</v>
      </c>
      <c r="I15" s="191"/>
      <c r="J15" s="191"/>
    </row>
    <row r="16" spans="1:22">
      <c r="B16" s="198" t="s">
        <v>143</v>
      </c>
      <c r="C16" s="198"/>
      <c r="D16" s="199"/>
      <c r="E16" s="200"/>
      <c r="F16" s="201"/>
      <c r="G16" s="202"/>
      <c r="H16" s="202">
        <f>SUM(H17:H23)</f>
        <v>296610</v>
      </c>
      <c r="I16" s="191"/>
      <c r="J16" s="191"/>
    </row>
    <row r="17" spans="2:22">
      <c r="B17" s="190"/>
      <c r="C17" s="191" t="s">
        <v>68</v>
      </c>
      <c r="D17" s="192"/>
      <c r="E17" s="182">
        <f>'assumptions completed'!E17</f>
        <v>500</v>
      </c>
      <c r="F17" s="183">
        <f>6*15</f>
        <v>90</v>
      </c>
      <c r="G17" s="193"/>
      <c r="H17" s="203">
        <f t="shared" ref="H17:H22" si="1">E17*F17</f>
        <v>45000</v>
      </c>
      <c r="I17" s="191"/>
      <c r="J17" s="191" t="s">
        <v>156</v>
      </c>
      <c r="L17" s="40">
        <f>$H17/4</f>
        <v>11250</v>
      </c>
      <c r="O17" s="40">
        <f>$H17/4</f>
        <v>11250</v>
      </c>
      <c r="R17" s="40">
        <f>$H17/4</f>
        <v>11250</v>
      </c>
      <c r="U17" s="40">
        <f>$H17/4</f>
        <v>11250</v>
      </c>
    </row>
    <row r="18" spans="2:22">
      <c r="B18" s="190"/>
      <c r="C18" s="191" t="s">
        <v>324</v>
      </c>
      <c r="D18" s="192"/>
      <c r="E18" s="182">
        <f>'assumptions completed'!E18</f>
        <v>18000</v>
      </c>
      <c r="F18" s="183">
        <v>2</v>
      </c>
      <c r="G18" s="193"/>
      <c r="H18" s="203">
        <f t="shared" si="1"/>
        <v>36000</v>
      </c>
      <c r="I18" s="191"/>
      <c r="J18" s="191" t="s">
        <v>155</v>
      </c>
      <c r="K18" s="40">
        <f>$H18/12</f>
        <v>3000</v>
      </c>
      <c r="L18" s="40">
        <f t="shared" ref="L18:V23" si="2">$H18/12</f>
        <v>3000</v>
      </c>
      <c r="M18" s="40">
        <f t="shared" si="2"/>
        <v>3000</v>
      </c>
      <c r="N18" s="40">
        <f t="shared" si="2"/>
        <v>3000</v>
      </c>
      <c r="O18" s="40">
        <f t="shared" si="2"/>
        <v>3000</v>
      </c>
      <c r="P18" s="40">
        <f t="shared" si="2"/>
        <v>3000</v>
      </c>
      <c r="Q18" s="40">
        <f t="shared" si="2"/>
        <v>3000</v>
      </c>
      <c r="R18" s="40">
        <f t="shared" si="2"/>
        <v>3000</v>
      </c>
      <c r="S18" s="40">
        <f t="shared" si="2"/>
        <v>3000</v>
      </c>
      <c r="T18" s="40">
        <f t="shared" si="2"/>
        <v>3000</v>
      </c>
      <c r="U18" s="40">
        <f t="shared" si="2"/>
        <v>3000</v>
      </c>
      <c r="V18" s="40">
        <f t="shared" si="2"/>
        <v>3000</v>
      </c>
    </row>
    <row r="19" spans="2:22">
      <c r="B19" s="190"/>
      <c r="C19" s="191" t="s">
        <v>368</v>
      </c>
      <c r="D19" s="192"/>
      <c r="E19" s="182">
        <f>'assumptions completed'!E19</f>
        <v>150</v>
      </c>
      <c r="F19" s="183">
        <v>200</v>
      </c>
      <c r="G19" s="193"/>
      <c r="H19" s="203">
        <f t="shared" si="1"/>
        <v>30000</v>
      </c>
      <c r="I19" s="191"/>
      <c r="J19" s="191" t="s">
        <v>155</v>
      </c>
      <c r="K19" s="40">
        <f>$H19/12</f>
        <v>2500</v>
      </c>
      <c r="L19" s="40">
        <f t="shared" si="2"/>
        <v>2500</v>
      </c>
      <c r="M19" s="40">
        <f t="shared" si="2"/>
        <v>2500</v>
      </c>
      <c r="N19" s="40">
        <f t="shared" si="2"/>
        <v>2500</v>
      </c>
      <c r="O19" s="40">
        <f t="shared" si="2"/>
        <v>2500</v>
      </c>
      <c r="P19" s="40">
        <f t="shared" si="2"/>
        <v>2500</v>
      </c>
      <c r="Q19" s="40">
        <f t="shared" si="2"/>
        <v>2500</v>
      </c>
      <c r="R19" s="40">
        <f t="shared" si="2"/>
        <v>2500</v>
      </c>
      <c r="S19" s="40">
        <f t="shared" si="2"/>
        <v>2500</v>
      </c>
      <c r="T19" s="40">
        <f t="shared" si="2"/>
        <v>2500</v>
      </c>
      <c r="U19" s="40">
        <f t="shared" si="2"/>
        <v>2500</v>
      </c>
      <c r="V19" s="40">
        <f t="shared" si="2"/>
        <v>2500</v>
      </c>
    </row>
    <row r="20" spans="2:22">
      <c r="B20" s="190"/>
      <c r="C20" s="93" t="s">
        <v>429</v>
      </c>
      <c r="D20" s="168"/>
      <c r="E20" s="182">
        <f>'assumptions completed'!E20</f>
        <v>300</v>
      </c>
      <c r="F20" s="96">
        <v>130</v>
      </c>
      <c r="G20" s="97"/>
      <c r="H20" s="105">
        <f t="shared" si="1"/>
        <v>39000</v>
      </c>
      <c r="I20" s="93"/>
      <c r="J20" s="93" t="s">
        <v>658</v>
      </c>
      <c r="K20" s="40"/>
      <c r="L20" s="40">
        <f>$H20/6</f>
        <v>6500</v>
      </c>
      <c r="M20" s="40"/>
      <c r="N20" s="40">
        <f>$H20/6</f>
        <v>6500</v>
      </c>
      <c r="O20" s="40"/>
      <c r="P20" s="40">
        <f>$H20/6</f>
        <v>6500</v>
      </c>
      <c r="Q20" s="40"/>
      <c r="R20" s="40">
        <f>$H20/6</f>
        <v>6500</v>
      </c>
      <c r="S20" s="40"/>
      <c r="T20" s="40">
        <f>$H20/6</f>
        <v>6500</v>
      </c>
      <c r="U20" s="40"/>
      <c r="V20" s="40">
        <f>$H20/6</f>
        <v>6500</v>
      </c>
    </row>
    <row r="21" spans="2:22">
      <c r="B21" s="190"/>
      <c r="C21" s="93" t="s">
        <v>431</v>
      </c>
      <c r="D21" s="168"/>
      <c r="E21" s="313">
        <v>500</v>
      </c>
      <c r="F21" s="96">
        <v>130</v>
      </c>
      <c r="G21" s="97"/>
      <c r="H21" s="105">
        <f t="shared" si="1"/>
        <v>65000</v>
      </c>
      <c r="I21" s="93"/>
      <c r="J21" s="93" t="s">
        <v>658</v>
      </c>
      <c r="K21" s="40"/>
      <c r="L21" s="40">
        <f>$H21/6</f>
        <v>10833.333333333334</v>
      </c>
      <c r="M21" s="40"/>
      <c r="N21" s="40">
        <f>$H21/6</f>
        <v>10833.333333333334</v>
      </c>
      <c r="O21" s="40"/>
      <c r="P21" s="40">
        <f>$H21/6</f>
        <v>10833.333333333334</v>
      </c>
      <c r="Q21" s="40"/>
      <c r="R21" s="40">
        <f>$H21/6</f>
        <v>10833.333333333334</v>
      </c>
      <c r="S21" s="40"/>
      <c r="T21" s="40">
        <f>$H21/6</f>
        <v>10833.333333333334</v>
      </c>
      <c r="U21" s="40"/>
      <c r="V21" s="40">
        <f>$H21/6</f>
        <v>10833.333333333334</v>
      </c>
    </row>
    <row r="22" spans="2:22">
      <c r="B22" s="190"/>
      <c r="C22" s="191" t="s">
        <v>196</v>
      </c>
      <c r="D22" s="192"/>
      <c r="E22" s="207">
        <v>5000</v>
      </c>
      <c r="F22" s="183">
        <v>4</v>
      </c>
      <c r="G22" s="193"/>
      <c r="H22" s="203">
        <f t="shared" si="1"/>
        <v>20000</v>
      </c>
      <c r="I22" s="191"/>
      <c r="J22" s="191" t="s">
        <v>370</v>
      </c>
      <c r="L22" s="40">
        <f>$H22/4</f>
        <v>5000</v>
      </c>
      <c r="O22" s="40">
        <f>$H22/4</f>
        <v>5000</v>
      </c>
      <c r="R22" s="40">
        <f>$H22/4</f>
        <v>5000</v>
      </c>
      <c r="U22" s="40">
        <f>$H22/4</f>
        <v>5000</v>
      </c>
    </row>
    <row r="23" spans="2:22">
      <c r="B23" s="190"/>
      <c r="C23" s="191" t="s">
        <v>146</v>
      </c>
      <c r="D23" s="192"/>
      <c r="E23" s="182"/>
      <c r="F23" s="183"/>
      <c r="G23" s="193"/>
      <c r="H23" s="203">
        <f>H7*0.1</f>
        <v>61610</v>
      </c>
      <c r="I23" s="191" t="s">
        <v>369</v>
      </c>
      <c r="J23" s="191" t="s">
        <v>155</v>
      </c>
      <c r="K23" s="40">
        <f>$H23/12</f>
        <v>5134.166666666667</v>
      </c>
      <c r="L23" s="40">
        <f t="shared" si="2"/>
        <v>5134.166666666667</v>
      </c>
      <c r="M23" s="40">
        <f t="shared" si="2"/>
        <v>5134.166666666667</v>
      </c>
      <c r="N23" s="40">
        <f t="shared" si="2"/>
        <v>5134.166666666667</v>
      </c>
      <c r="O23" s="40">
        <f t="shared" si="2"/>
        <v>5134.166666666667</v>
      </c>
      <c r="P23" s="40">
        <f t="shared" si="2"/>
        <v>5134.166666666667</v>
      </c>
      <c r="Q23" s="40">
        <f t="shared" si="2"/>
        <v>5134.166666666667</v>
      </c>
      <c r="R23" s="40">
        <f t="shared" si="2"/>
        <v>5134.166666666667</v>
      </c>
      <c r="S23" s="40">
        <f t="shared" si="2"/>
        <v>5134.166666666667</v>
      </c>
      <c r="T23" s="40">
        <f t="shared" si="2"/>
        <v>5134.166666666667</v>
      </c>
      <c r="U23" s="40">
        <f t="shared" si="2"/>
        <v>5134.166666666667</v>
      </c>
      <c r="V23" s="40">
        <f t="shared" si="2"/>
        <v>5134.166666666667</v>
      </c>
    </row>
    <row r="24" spans="2:22">
      <c r="B24" s="190"/>
      <c r="C24" s="191"/>
      <c r="D24" s="192"/>
      <c r="E24" s="182"/>
      <c r="F24" s="183"/>
      <c r="G24" s="193"/>
      <c r="H24" s="193"/>
      <c r="I24" s="191"/>
      <c r="J24" s="191"/>
    </row>
    <row r="25" spans="2:22">
      <c r="B25" s="198" t="s">
        <v>142</v>
      </c>
      <c r="C25" s="198"/>
      <c r="D25" s="199"/>
      <c r="E25" s="200"/>
      <c r="F25" s="201"/>
      <c r="G25" s="202">
        <f>SUM(G26:G44)</f>
        <v>47460</v>
      </c>
      <c r="H25" s="202">
        <f>SUM(H26:H44)</f>
        <v>949200</v>
      </c>
      <c r="I25" s="191"/>
      <c r="J25" s="191"/>
    </row>
    <row r="26" spans="2:22">
      <c r="B26" s="190"/>
      <c r="C26" s="191" t="s">
        <v>120</v>
      </c>
      <c r="D26" s="192"/>
      <c r="E26" s="182">
        <f>'assumptions completed'!E26</f>
        <v>300</v>
      </c>
      <c r="F26" s="183">
        <v>52</v>
      </c>
      <c r="G26" s="195">
        <f>E26*F26</f>
        <v>15600</v>
      </c>
      <c r="H26" s="195">
        <f>G26*20</f>
        <v>312000</v>
      </c>
      <c r="I26" s="191"/>
      <c r="J26" s="191" t="s">
        <v>152</v>
      </c>
      <c r="K26" s="40">
        <f>$H26/52*K$4</f>
        <v>24000</v>
      </c>
      <c r="L26" s="40">
        <f t="shared" ref="L26:V26" si="3">$H26/52*L$4</f>
        <v>24000</v>
      </c>
      <c r="M26" s="40">
        <f t="shared" si="3"/>
        <v>30000</v>
      </c>
      <c r="N26" s="40">
        <f t="shared" si="3"/>
        <v>24000</v>
      </c>
      <c r="O26" s="40">
        <f t="shared" si="3"/>
        <v>24000</v>
      </c>
      <c r="P26" s="40">
        <f t="shared" si="3"/>
        <v>30000</v>
      </c>
      <c r="Q26" s="40">
        <f t="shared" si="3"/>
        <v>24000</v>
      </c>
      <c r="R26" s="40">
        <f t="shared" si="3"/>
        <v>24000</v>
      </c>
      <c r="S26" s="40">
        <f t="shared" si="3"/>
        <v>30000</v>
      </c>
      <c r="T26" s="40">
        <f t="shared" si="3"/>
        <v>24000</v>
      </c>
      <c r="U26" s="40">
        <f t="shared" si="3"/>
        <v>24000</v>
      </c>
      <c r="V26" s="40">
        <f t="shared" si="3"/>
        <v>30000</v>
      </c>
    </row>
    <row r="27" spans="2:22">
      <c r="B27" s="190"/>
      <c r="C27" s="191" t="s">
        <v>129</v>
      </c>
      <c r="D27" s="192"/>
      <c r="E27" s="182">
        <f>'assumptions completed'!E27</f>
        <v>50</v>
      </c>
      <c r="F27" s="183">
        <v>52</v>
      </c>
      <c r="G27" s="195">
        <f>E27*F27</f>
        <v>2600</v>
      </c>
      <c r="H27" s="195">
        <f>G27*20</f>
        <v>52000</v>
      </c>
      <c r="I27" s="191"/>
      <c r="J27" s="191" t="s">
        <v>152</v>
      </c>
      <c r="K27" s="40">
        <f t="shared" ref="K27:V28" si="4">$H27/52*K$4</f>
        <v>4000</v>
      </c>
      <c r="L27" s="40">
        <f t="shared" si="4"/>
        <v>4000</v>
      </c>
      <c r="M27" s="40">
        <f t="shared" si="4"/>
        <v>5000</v>
      </c>
      <c r="N27" s="40">
        <f t="shared" si="4"/>
        <v>4000</v>
      </c>
      <c r="O27" s="40">
        <f t="shared" si="4"/>
        <v>4000</v>
      </c>
      <c r="P27" s="40">
        <f t="shared" si="4"/>
        <v>5000</v>
      </c>
      <c r="Q27" s="40">
        <f t="shared" si="4"/>
        <v>4000</v>
      </c>
      <c r="R27" s="40">
        <f t="shared" si="4"/>
        <v>4000</v>
      </c>
      <c r="S27" s="40">
        <f t="shared" si="4"/>
        <v>5000</v>
      </c>
      <c r="T27" s="40">
        <f t="shared" si="4"/>
        <v>4000</v>
      </c>
      <c r="U27" s="40">
        <f t="shared" si="4"/>
        <v>4000</v>
      </c>
      <c r="V27" s="40">
        <f t="shared" si="4"/>
        <v>5000</v>
      </c>
    </row>
    <row r="28" spans="2:22">
      <c r="B28" s="190"/>
      <c r="C28" s="191" t="s">
        <v>133</v>
      </c>
      <c r="D28" s="192"/>
      <c r="E28" s="182">
        <f>'assumptions completed'!E28</f>
        <v>30</v>
      </c>
      <c r="F28" s="183">
        <v>52</v>
      </c>
      <c r="G28" s="195">
        <f>E28*F28</f>
        <v>1560</v>
      </c>
      <c r="H28" s="195">
        <f>G28*20</f>
        <v>31200</v>
      </c>
      <c r="I28" s="191"/>
      <c r="J28" s="191" t="s">
        <v>152</v>
      </c>
      <c r="K28" s="40">
        <f t="shared" si="4"/>
        <v>2400</v>
      </c>
      <c r="L28" s="40">
        <f t="shared" si="4"/>
        <v>2400</v>
      </c>
      <c r="M28" s="40">
        <f t="shared" si="4"/>
        <v>3000</v>
      </c>
      <c r="N28" s="40">
        <f t="shared" si="4"/>
        <v>2400</v>
      </c>
      <c r="O28" s="40">
        <f t="shared" si="4"/>
        <v>2400</v>
      </c>
      <c r="P28" s="40">
        <f t="shared" si="4"/>
        <v>3000</v>
      </c>
      <c r="Q28" s="40">
        <f t="shared" si="4"/>
        <v>2400</v>
      </c>
      <c r="R28" s="40">
        <f t="shared" si="4"/>
        <v>2400</v>
      </c>
      <c r="S28" s="40">
        <f t="shared" si="4"/>
        <v>3000</v>
      </c>
      <c r="T28" s="40">
        <f t="shared" si="4"/>
        <v>2400</v>
      </c>
      <c r="U28" s="40">
        <f t="shared" si="4"/>
        <v>2400</v>
      </c>
      <c r="V28" s="40">
        <f t="shared" si="4"/>
        <v>3000</v>
      </c>
    </row>
    <row r="29" spans="2:22">
      <c r="B29" s="190"/>
      <c r="C29" s="191" t="s">
        <v>125</v>
      </c>
      <c r="D29" s="192"/>
      <c r="E29" s="182"/>
      <c r="F29" s="183"/>
      <c r="G29" s="191"/>
      <c r="H29" s="195"/>
      <c r="I29" s="191"/>
      <c r="J29" s="191"/>
    </row>
    <row r="30" spans="2:22">
      <c r="B30" s="190"/>
      <c r="C30" s="191"/>
      <c r="D30" s="192" t="s">
        <v>130</v>
      </c>
      <c r="E30" s="182">
        <f>'assumptions completed'!E30</f>
        <v>1200</v>
      </c>
      <c r="F30" s="183">
        <v>1</v>
      </c>
      <c r="G30" s="195">
        <f>E30*F30</f>
        <v>1200</v>
      </c>
      <c r="H30" s="195">
        <f>G30*20</f>
        <v>24000</v>
      </c>
      <c r="I30" s="191"/>
      <c r="J30" s="191" t="s">
        <v>153</v>
      </c>
      <c r="Q30" s="40">
        <f>H30</f>
        <v>24000</v>
      </c>
    </row>
    <row r="31" spans="2:22">
      <c r="B31" s="190"/>
      <c r="C31" s="191"/>
      <c r="D31" s="192" t="s">
        <v>131</v>
      </c>
      <c r="E31" s="182">
        <f>'assumptions completed'!E31</f>
        <v>800</v>
      </c>
      <c r="F31" s="183">
        <v>1</v>
      </c>
      <c r="G31" s="195">
        <f>E31*F31</f>
        <v>800</v>
      </c>
      <c r="H31" s="195">
        <f>G31*20</f>
        <v>16000</v>
      </c>
      <c r="I31" s="191"/>
      <c r="J31" s="191" t="s">
        <v>153</v>
      </c>
      <c r="Q31" s="40">
        <f>H31</f>
        <v>16000</v>
      </c>
    </row>
    <row r="32" spans="2:22">
      <c r="B32" s="190"/>
      <c r="C32" s="191"/>
      <c r="D32" s="192" t="s">
        <v>132</v>
      </c>
      <c r="E32" s="182">
        <f>'assumptions completed'!E32</f>
        <v>600</v>
      </c>
      <c r="F32" s="183">
        <v>2</v>
      </c>
      <c r="G32" s="195">
        <f>E32*F32</f>
        <v>1200</v>
      </c>
      <c r="H32" s="195">
        <f>G32*20</f>
        <v>24000</v>
      </c>
      <c r="I32" s="191"/>
      <c r="J32" s="191" t="s">
        <v>154</v>
      </c>
      <c r="M32" s="40">
        <f>H32/2</f>
        <v>12000</v>
      </c>
      <c r="S32" s="40">
        <f>M32</f>
        <v>12000</v>
      </c>
    </row>
    <row r="33" spans="2:22">
      <c r="B33" s="190"/>
      <c r="C33" s="191"/>
      <c r="D33" s="192" t="s">
        <v>121</v>
      </c>
      <c r="E33" s="207">
        <v>45</v>
      </c>
      <c r="F33" s="183">
        <v>52</v>
      </c>
      <c r="G33" s="195">
        <f>E33*F33</f>
        <v>2340</v>
      </c>
      <c r="H33" s="195">
        <f>G33*20</f>
        <v>46800</v>
      </c>
      <c r="I33" s="191" t="s">
        <v>510</v>
      </c>
      <c r="J33" s="191" t="s">
        <v>152</v>
      </c>
      <c r="K33" s="40">
        <f>$H33/52*K$4</f>
        <v>3600</v>
      </c>
      <c r="L33" s="40">
        <f t="shared" ref="L33:V33" si="5">$H33/52*L$4</f>
        <v>3600</v>
      </c>
      <c r="M33" s="40">
        <f t="shared" si="5"/>
        <v>4500</v>
      </c>
      <c r="N33" s="40">
        <f t="shared" si="5"/>
        <v>3600</v>
      </c>
      <c r="O33" s="40">
        <f t="shared" si="5"/>
        <v>3600</v>
      </c>
      <c r="P33" s="40">
        <f t="shared" si="5"/>
        <v>4500</v>
      </c>
      <c r="Q33" s="40">
        <f t="shared" si="5"/>
        <v>3600</v>
      </c>
      <c r="R33" s="40">
        <f t="shared" si="5"/>
        <v>3600</v>
      </c>
      <c r="S33" s="40">
        <f t="shared" si="5"/>
        <v>4500</v>
      </c>
      <c r="T33" s="40">
        <f t="shared" si="5"/>
        <v>3600</v>
      </c>
      <c r="U33" s="40">
        <f t="shared" si="5"/>
        <v>3600</v>
      </c>
      <c r="V33" s="40">
        <f t="shared" si="5"/>
        <v>4500</v>
      </c>
    </row>
    <row r="34" spans="2:22">
      <c r="B34" s="190"/>
      <c r="C34" s="191" t="s">
        <v>122</v>
      </c>
      <c r="D34" s="192"/>
      <c r="E34" s="182">
        <v>80</v>
      </c>
      <c r="F34" s="183">
        <v>10</v>
      </c>
      <c r="G34" s="195">
        <f>E34*F34</f>
        <v>800</v>
      </c>
      <c r="H34" s="195">
        <f>G34*20</f>
        <v>16000</v>
      </c>
      <c r="I34" s="191"/>
      <c r="J34" s="191" t="s">
        <v>155</v>
      </c>
      <c r="K34" s="40">
        <f t="shared" ref="K34:V36" si="6">$H34/12</f>
        <v>1333.3333333333333</v>
      </c>
      <c r="L34" s="40">
        <f t="shared" si="6"/>
        <v>1333.3333333333333</v>
      </c>
      <c r="M34" s="40">
        <f t="shared" si="6"/>
        <v>1333.3333333333333</v>
      </c>
      <c r="N34" s="40">
        <f t="shared" si="6"/>
        <v>1333.3333333333333</v>
      </c>
      <c r="O34" s="40">
        <f t="shared" si="6"/>
        <v>1333.3333333333333</v>
      </c>
      <c r="P34" s="40">
        <f t="shared" si="6"/>
        <v>1333.3333333333333</v>
      </c>
      <c r="Q34" s="40">
        <f t="shared" si="6"/>
        <v>1333.3333333333333</v>
      </c>
      <c r="R34" s="40">
        <f t="shared" si="6"/>
        <v>1333.3333333333333</v>
      </c>
      <c r="S34" s="40">
        <f t="shared" si="6"/>
        <v>1333.3333333333333</v>
      </c>
      <c r="T34" s="40">
        <f t="shared" si="6"/>
        <v>1333.3333333333333</v>
      </c>
      <c r="U34" s="40">
        <f t="shared" si="6"/>
        <v>1333.3333333333333</v>
      </c>
      <c r="V34" s="40">
        <f t="shared" si="6"/>
        <v>1333.3333333333333</v>
      </c>
    </row>
    <row r="35" spans="2:22">
      <c r="B35" s="190"/>
      <c r="C35" s="191" t="s">
        <v>136</v>
      </c>
      <c r="D35" s="192"/>
      <c r="E35" s="182">
        <v>300</v>
      </c>
      <c r="F35" s="205">
        <v>12</v>
      </c>
      <c r="G35" s="195">
        <f t="shared" ref="G35:G41" si="7">E35*F35</f>
        <v>3600</v>
      </c>
      <c r="H35" s="195">
        <f t="shared" ref="H35:H41" si="8">G35*20</f>
        <v>72000</v>
      </c>
      <c r="I35" s="191" t="s">
        <v>137</v>
      </c>
      <c r="J35" s="191" t="s">
        <v>155</v>
      </c>
      <c r="K35" s="40">
        <f t="shared" si="6"/>
        <v>6000</v>
      </c>
      <c r="L35" s="40">
        <f t="shared" si="6"/>
        <v>6000</v>
      </c>
      <c r="M35" s="40">
        <f t="shared" si="6"/>
        <v>6000</v>
      </c>
      <c r="N35" s="40">
        <f t="shared" si="6"/>
        <v>6000</v>
      </c>
      <c r="O35" s="40">
        <f t="shared" si="6"/>
        <v>6000</v>
      </c>
      <c r="P35" s="40">
        <f t="shared" si="6"/>
        <v>6000</v>
      </c>
      <c r="Q35" s="40">
        <f t="shared" si="6"/>
        <v>6000</v>
      </c>
      <c r="R35" s="40">
        <f t="shared" si="6"/>
        <v>6000</v>
      </c>
      <c r="S35" s="40">
        <f t="shared" si="6"/>
        <v>6000</v>
      </c>
      <c r="T35" s="40">
        <f t="shared" si="6"/>
        <v>6000</v>
      </c>
      <c r="U35" s="40">
        <f t="shared" si="6"/>
        <v>6000</v>
      </c>
      <c r="V35" s="40">
        <f t="shared" si="6"/>
        <v>6000</v>
      </c>
    </row>
    <row r="36" spans="2:22">
      <c r="B36" s="190"/>
      <c r="C36" s="191" t="s">
        <v>138</v>
      </c>
      <c r="D36" s="192"/>
      <c r="E36" s="182">
        <v>50</v>
      </c>
      <c r="F36" s="183">
        <v>12</v>
      </c>
      <c r="G36" s="195">
        <f t="shared" si="7"/>
        <v>600</v>
      </c>
      <c r="H36" s="195">
        <f t="shared" si="8"/>
        <v>12000</v>
      </c>
      <c r="I36" s="191"/>
      <c r="J36" s="191" t="s">
        <v>155</v>
      </c>
      <c r="K36" s="40">
        <f t="shared" si="6"/>
        <v>1000</v>
      </c>
      <c r="L36" s="40">
        <f t="shared" si="6"/>
        <v>1000</v>
      </c>
      <c r="M36" s="40">
        <f t="shared" si="6"/>
        <v>1000</v>
      </c>
      <c r="N36" s="40">
        <f t="shared" si="6"/>
        <v>1000</v>
      </c>
      <c r="O36" s="40">
        <f t="shared" si="6"/>
        <v>1000</v>
      </c>
      <c r="P36" s="40">
        <f t="shared" si="6"/>
        <v>1000</v>
      </c>
      <c r="Q36" s="40">
        <f t="shared" si="6"/>
        <v>1000</v>
      </c>
      <c r="R36" s="40">
        <f t="shared" si="6"/>
        <v>1000</v>
      </c>
      <c r="S36" s="40">
        <f t="shared" si="6"/>
        <v>1000</v>
      </c>
      <c r="T36" s="40">
        <f t="shared" si="6"/>
        <v>1000</v>
      </c>
      <c r="U36" s="40">
        <f t="shared" si="6"/>
        <v>1000</v>
      </c>
      <c r="V36" s="40">
        <f t="shared" si="6"/>
        <v>1000</v>
      </c>
    </row>
    <row r="37" spans="2:22">
      <c r="B37" s="190"/>
      <c r="C37" s="191" t="s">
        <v>123</v>
      </c>
      <c r="D37" s="192"/>
      <c r="E37" s="182">
        <f>'assumptions completed'!E37</f>
        <v>500</v>
      </c>
      <c r="F37" s="205">
        <v>4</v>
      </c>
      <c r="G37" s="195">
        <f t="shared" si="7"/>
        <v>2000</v>
      </c>
      <c r="H37" s="195">
        <f t="shared" si="8"/>
        <v>40000</v>
      </c>
      <c r="I37" s="191"/>
      <c r="J37" s="206" t="s">
        <v>156</v>
      </c>
      <c r="M37" s="40">
        <f>$H37/4</f>
        <v>10000</v>
      </c>
      <c r="P37" s="40">
        <f>$H37/4</f>
        <v>10000</v>
      </c>
      <c r="S37" s="40">
        <f>$H37/4</f>
        <v>10000</v>
      </c>
      <c r="V37" s="40">
        <f>$H37/4</f>
        <v>10000</v>
      </c>
    </row>
    <row r="38" spans="2:22">
      <c r="B38" s="190"/>
      <c r="C38" s="191" t="s">
        <v>124</v>
      </c>
      <c r="D38" s="192"/>
      <c r="E38" s="182">
        <f>'assumptions completed'!E38</f>
        <v>600</v>
      </c>
      <c r="F38" s="205">
        <v>4</v>
      </c>
      <c r="G38" s="195">
        <f t="shared" si="7"/>
        <v>2400</v>
      </c>
      <c r="H38" s="195">
        <f t="shared" si="8"/>
        <v>48000</v>
      </c>
      <c r="I38" s="191"/>
      <c r="J38" s="206" t="s">
        <v>156</v>
      </c>
      <c r="M38" s="40">
        <f>$H38/4</f>
        <v>12000</v>
      </c>
      <c r="P38" s="40">
        <f>$H38/4</f>
        <v>12000</v>
      </c>
      <c r="S38" s="40">
        <f>$H38/4</f>
        <v>12000</v>
      </c>
      <c r="V38" s="40">
        <f>$H38/4</f>
        <v>12000</v>
      </c>
    </row>
    <row r="39" spans="2:22">
      <c r="B39" s="190"/>
      <c r="C39" s="191" t="s">
        <v>126</v>
      </c>
      <c r="D39" s="192"/>
      <c r="E39" s="182">
        <f>'assumptions completed'!E39</f>
        <v>300</v>
      </c>
      <c r="F39" s="205">
        <v>4</v>
      </c>
      <c r="G39" s="195">
        <f t="shared" si="7"/>
        <v>1200</v>
      </c>
      <c r="H39" s="195">
        <f t="shared" si="8"/>
        <v>24000</v>
      </c>
      <c r="I39" s="191"/>
      <c r="J39" s="206" t="s">
        <v>156</v>
      </c>
      <c r="M39" s="40">
        <f>$H39/4</f>
        <v>6000</v>
      </c>
      <c r="P39" s="40">
        <f>$H39/4</f>
        <v>6000</v>
      </c>
      <c r="S39" s="40">
        <f>$H39/4</f>
        <v>6000</v>
      </c>
      <c r="V39" s="40">
        <f>$H39/4</f>
        <v>6000</v>
      </c>
    </row>
    <row r="40" spans="2:22">
      <c r="B40" s="190"/>
      <c r="C40" s="191" t="s">
        <v>127</v>
      </c>
      <c r="D40" s="192"/>
      <c r="E40" s="182">
        <f>'assumptions completed'!E40</f>
        <v>250</v>
      </c>
      <c r="F40" s="205">
        <v>4</v>
      </c>
      <c r="G40" s="195">
        <f t="shared" si="7"/>
        <v>1000</v>
      </c>
      <c r="H40" s="195">
        <f t="shared" si="8"/>
        <v>20000</v>
      </c>
      <c r="I40" s="191"/>
      <c r="J40" s="206" t="s">
        <v>156</v>
      </c>
      <c r="M40" s="40">
        <f>$H40/4</f>
        <v>5000</v>
      </c>
      <c r="P40" s="40">
        <f>$H40/4</f>
        <v>5000</v>
      </c>
      <c r="S40" s="40">
        <f>$H40/4</f>
        <v>5000</v>
      </c>
      <c r="V40" s="40">
        <f>$H40/4</f>
        <v>5000</v>
      </c>
    </row>
    <row r="41" spans="2:22">
      <c r="B41" s="190"/>
      <c r="C41" s="191" t="s">
        <v>128</v>
      </c>
      <c r="D41" s="192"/>
      <c r="E41" s="182">
        <v>100</v>
      </c>
      <c r="F41" s="205">
        <v>12</v>
      </c>
      <c r="G41" s="195">
        <f t="shared" si="7"/>
        <v>1200</v>
      </c>
      <c r="H41" s="195">
        <f t="shared" si="8"/>
        <v>24000</v>
      </c>
      <c r="I41" s="191"/>
      <c r="J41" s="206" t="s">
        <v>155</v>
      </c>
      <c r="K41" s="40">
        <f>$H41/12</f>
        <v>2000</v>
      </c>
      <c r="L41" s="40">
        <f t="shared" ref="L41:V41" si="9">$H41/12</f>
        <v>2000</v>
      </c>
      <c r="M41" s="40">
        <f t="shared" si="9"/>
        <v>2000</v>
      </c>
      <c r="N41" s="40">
        <f t="shared" si="9"/>
        <v>2000</v>
      </c>
      <c r="O41" s="40">
        <f t="shared" si="9"/>
        <v>2000</v>
      </c>
      <c r="P41" s="40">
        <f t="shared" si="9"/>
        <v>2000</v>
      </c>
      <c r="Q41" s="40">
        <f t="shared" si="9"/>
        <v>2000</v>
      </c>
      <c r="R41" s="40">
        <f t="shared" si="9"/>
        <v>2000</v>
      </c>
      <c r="S41" s="40">
        <f t="shared" si="9"/>
        <v>2000</v>
      </c>
      <c r="T41" s="40">
        <f t="shared" si="9"/>
        <v>2000</v>
      </c>
      <c r="U41" s="40">
        <f t="shared" si="9"/>
        <v>2000</v>
      </c>
      <c r="V41" s="40">
        <f t="shared" si="9"/>
        <v>2000</v>
      </c>
    </row>
    <row r="42" spans="2:22">
      <c r="B42" s="190"/>
      <c r="C42" s="191" t="s">
        <v>139</v>
      </c>
      <c r="D42" s="192"/>
      <c r="E42" s="182"/>
      <c r="F42" s="205"/>
      <c r="G42" s="204"/>
      <c r="H42" s="195"/>
      <c r="I42" s="191" t="s">
        <v>140</v>
      </c>
      <c r="J42" s="206"/>
    </row>
    <row r="43" spans="2:22">
      <c r="B43" s="190"/>
      <c r="C43" s="191"/>
      <c r="D43" s="192" t="s">
        <v>134</v>
      </c>
      <c r="E43" s="207">
        <v>120</v>
      </c>
      <c r="F43" s="205">
        <v>52</v>
      </c>
      <c r="G43" s="195">
        <f>E43*F43</f>
        <v>6240</v>
      </c>
      <c r="H43" s="195">
        <f>G43*20</f>
        <v>124800</v>
      </c>
      <c r="I43" s="191"/>
      <c r="J43" s="206" t="s">
        <v>152</v>
      </c>
      <c r="K43" s="40">
        <f>$H43/52*K$4</f>
        <v>9600</v>
      </c>
      <c r="L43" s="40">
        <f t="shared" ref="L43:V44" si="10">$H43/52*L$4</f>
        <v>9600</v>
      </c>
      <c r="M43" s="40">
        <f t="shared" si="10"/>
        <v>12000</v>
      </c>
      <c r="N43" s="40">
        <f t="shared" si="10"/>
        <v>9600</v>
      </c>
      <c r="O43" s="40">
        <f t="shared" si="10"/>
        <v>9600</v>
      </c>
      <c r="P43" s="40">
        <f t="shared" si="10"/>
        <v>12000</v>
      </c>
      <c r="Q43" s="40">
        <f t="shared" si="10"/>
        <v>9600</v>
      </c>
      <c r="R43" s="40">
        <f t="shared" si="10"/>
        <v>9600</v>
      </c>
      <c r="S43" s="40">
        <f t="shared" si="10"/>
        <v>12000</v>
      </c>
      <c r="T43" s="40">
        <f t="shared" si="10"/>
        <v>9600</v>
      </c>
      <c r="U43" s="40">
        <f t="shared" si="10"/>
        <v>9600</v>
      </c>
      <c r="V43" s="40">
        <f t="shared" si="10"/>
        <v>12000</v>
      </c>
    </row>
    <row r="44" spans="2:22">
      <c r="B44" s="190"/>
      <c r="C44" s="191"/>
      <c r="D44" s="192" t="s">
        <v>135</v>
      </c>
      <c r="E44" s="207">
        <v>60</v>
      </c>
      <c r="F44" s="205">
        <v>52</v>
      </c>
      <c r="G44" s="195">
        <f>E44*F44</f>
        <v>3120</v>
      </c>
      <c r="H44" s="195">
        <f>G44*20</f>
        <v>62400</v>
      </c>
      <c r="I44" s="191"/>
      <c r="J44" s="206" t="s">
        <v>152</v>
      </c>
      <c r="K44" s="40">
        <f>$H44/52*K$4</f>
        <v>4800</v>
      </c>
      <c r="L44" s="40">
        <f t="shared" si="10"/>
        <v>4800</v>
      </c>
      <c r="M44" s="40">
        <f t="shared" si="10"/>
        <v>6000</v>
      </c>
      <c r="N44" s="40">
        <f t="shared" si="10"/>
        <v>4800</v>
      </c>
      <c r="O44" s="40">
        <f t="shared" si="10"/>
        <v>4800</v>
      </c>
      <c r="P44" s="40">
        <f t="shared" si="10"/>
        <v>6000</v>
      </c>
      <c r="Q44" s="40">
        <f t="shared" si="10"/>
        <v>4800</v>
      </c>
      <c r="R44" s="40">
        <f t="shared" si="10"/>
        <v>4800</v>
      </c>
      <c r="S44" s="40">
        <f t="shared" si="10"/>
        <v>6000</v>
      </c>
      <c r="T44" s="40">
        <f t="shared" si="10"/>
        <v>4800</v>
      </c>
      <c r="U44" s="40">
        <f t="shared" si="10"/>
        <v>4800</v>
      </c>
      <c r="V44" s="40">
        <f t="shared" si="10"/>
        <v>6000</v>
      </c>
    </row>
    <row r="45" spans="2:22">
      <c r="B45" s="190"/>
      <c r="C45" s="191"/>
      <c r="D45" s="192"/>
      <c r="E45" s="182"/>
      <c r="F45" s="183"/>
      <c r="G45" s="191"/>
      <c r="H45" s="191"/>
      <c r="I45" s="191"/>
      <c r="J45" s="191"/>
    </row>
    <row r="46" spans="2:22">
      <c r="B46" s="190" t="s">
        <v>325</v>
      </c>
      <c r="C46" s="191"/>
      <c r="D46" s="208"/>
      <c r="E46" s="182"/>
      <c r="F46" s="183"/>
      <c r="G46" s="191"/>
      <c r="H46" s="193">
        <f>H47+H48</f>
        <v>100000</v>
      </c>
      <c r="I46" s="191"/>
      <c r="J46" s="191"/>
    </row>
    <row r="47" spans="2:22">
      <c r="B47" s="190"/>
      <c r="C47" s="191" t="s">
        <v>326</v>
      </c>
      <c r="D47" s="208"/>
      <c r="E47" s="182">
        <v>3000</v>
      </c>
      <c r="F47" s="183">
        <v>20</v>
      </c>
      <c r="G47" s="193"/>
      <c r="H47" s="203">
        <f>E47*F47</f>
        <v>60000</v>
      </c>
      <c r="I47" s="191" t="s">
        <v>327</v>
      </c>
      <c r="J47" s="191" t="s">
        <v>328</v>
      </c>
      <c r="K47" s="40">
        <f>$H47/12</f>
        <v>5000</v>
      </c>
      <c r="L47" s="40">
        <f t="shared" ref="L47:V48" si="11">$H47/12</f>
        <v>5000</v>
      </c>
      <c r="M47" s="40">
        <f t="shared" si="11"/>
        <v>5000</v>
      </c>
      <c r="N47" s="40">
        <f t="shared" si="11"/>
        <v>5000</v>
      </c>
      <c r="O47" s="40">
        <f t="shared" si="11"/>
        <v>5000</v>
      </c>
      <c r="P47" s="40">
        <f t="shared" si="11"/>
        <v>5000</v>
      </c>
      <c r="Q47" s="40">
        <f t="shared" si="11"/>
        <v>5000</v>
      </c>
      <c r="R47" s="40">
        <f t="shared" si="11"/>
        <v>5000</v>
      </c>
      <c r="S47" s="40">
        <f t="shared" si="11"/>
        <v>5000</v>
      </c>
      <c r="T47" s="40">
        <f t="shared" si="11"/>
        <v>5000</v>
      </c>
      <c r="U47" s="40">
        <f t="shared" si="11"/>
        <v>5000</v>
      </c>
      <c r="V47" s="40">
        <f t="shared" si="11"/>
        <v>5000</v>
      </c>
    </row>
    <row r="48" spans="2:22">
      <c r="B48" s="190"/>
      <c r="C48" s="191" t="s">
        <v>329</v>
      </c>
      <c r="D48" s="208"/>
      <c r="E48" s="182">
        <v>2000</v>
      </c>
      <c r="F48" s="183">
        <v>20</v>
      </c>
      <c r="G48" s="193"/>
      <c r="H48" s="203">
        <f>E48*F48</f>
        <v>40000</v>
      </c>
      <c r="I48" s="191" t="s">
        <v>330</v>
      </c>
      <c r="J48" s="191" t="s">
        <v>331</v>
      </c>
      <c r="K48" s="40">
        <f>$H48/12</f>
        <v>3333.3333333333335</v>
      </c>
      <c r="L48" s="40">
        <f t="shared" si="11"/>
        <v>3333.3333333333335</v>
      </c>
      <c r="M48" s="40">
        <f t="shared" si="11"/>
        <v>3333.3333333333335</v>
      </c>
      <c r="N48" s="40">
        <f t="shared" si="11"/>
        <v>3333.3333333333335</v>
      </c>
      <c r="O48" s="40">
        <f t="shared" si="11"/>
        <v>3333.3333333333335</v>
      </c>
      <c r="P48" s="40">
        <f t="shared" si="11"/>
        <v>3333.3333333333335</v>
      </c>
      <c r="Q48" s="40">
        <f t="shared" si="11"/>
        <v>3333.3333333333335</v>
      </c>
      <c r="R48" s="40">
        <f t="shared" si="11"/>
        <v>3333.3333333333335</v>
      </c>
      <c r="S48" s="40">
        <f t="shared" si="11"/>
        <v>3333.3333333333335</v>
      </c>
      <c r="T48" s="40">
        <f t="shared" si="11"/>
        <v>3333.3333333333335</v>
      </c>
      <c r="U48" s="40">
        <f t="shared" si="11"/>
        <v>3333.3333333333335</v>
      </c>
      <c r="V48" s="40">
        <f t="shared" si="11"/>
        <v>3333.3333333333335</v>
      </c>
    </row>
    <row r="49" spans="1:22">
      <c r="B49" s="190"/>
      <c r="C49" s="191"/>
      <c r="D49" s="208"/>
      <c r="E49" s="182"/>
      <c r="F49" s="183"/>
      <c r="G49" s="193"/>
      <c r="H49" s="203"/>
      <c r="I49" s="191"/>
      <c r="J49" s="191"/>
    </row>
    <row r="50" spans="1:22">
      <c r="B50" s="190" t="s">
        <v>141</v>
      </c>
      <c r="C50" s="191"/>
      <c r="D50" s="192"/>
      <c r="E50" s="182"/>
      <c r="F50" s="183"/>
      <c r="G50" s="191"/>
      <c r="H50" s="209">
        <f>SUM(H51:H52)</f>
        <v>36000</v>
      </c>
      <c r="I50" s="191"/>
      <c r="J50" s="191" t="s">
        <v>117</v>
      </c>
    </row>
    <row r="51" spans="1:22">
      <c r="B51" s="191"/>
      <c r="C51" s="191" t="s">
        <v>69</v>
      </c>
      <c r="D51" s="192"/>
      <c r="E51" s="182"/>
      <c r="F51" s="183"/>
      <c r="G51" s="191"/>
      <c r="H51" s="191"/>
      <c r="I51" s="191"/>
      <c r="J51" s="191"/>
    </row>
    <row r="52" spans="1:22">
      <c r="B52" s="210"/>
      <c r="C52" s="210"/>
      <c r="D52" s="211" t="s">
        <v>70</v>
      </c>
      <c r="E52" s="357">
        <v>6000</v>
      </c>
      <c r="F52" s="680">
        <f>F9+F11</f>
        <v>6</v>
      </c>
      <c r="G52" s="210"/>
      <c r="H52" s="212">
        <f>E52*F52</f>
        <v>36000</v>
      </c>
      <c r="I52" s="210" t="s">
        <v>102</v>
      </c>
      <c r="J52" s="210" t="s">
        <v>155</v>
      </c>
      <c r="K52" s="40">
        <f>$H52/12</f>
        <v>3000</v>
      </c>
      <c r="L52" s="40">
        <f t="shared" ref="L52:V52" si="12">$H52/12</f>
        <v>3000</v>
      </c>
      <c r="M52" s="40">
        <f t="shared" si="12"/>
        <v>3000</v>
      </c>
      <c r="N52" s="40">
        <f t="shared" si="12"/>
        <v>3000</v>
      </c>
      <c r="O52" s="40">
        <f t="shared" si="12"/>
        <v>3000</v>
      </c>
      <c r="P52" s="40">
        <f t="shared" si="12"/>
        <v>3000</v>
      </c>
      <c r="Q52" s="40">
        <f t="shared" si="12"/>
        <v>3000</v>
      </c>
      <c r="R52" s="40">
        <f t="shared" si="12"/>
        <v>3000</v>
      </c>
      <c r="S52" s="40">
        <f t="shared" si="12"/>
        <v>3000</v>
      </c>
      <c r="T52" s="40">
        <f t="shared" si="12"/>
        <v>3000</v>
      </c>
      <c r="U52" s="40">
        <f t="shared" si="12"/>
        <v>3000</v>
      </c>
      <c r="V52" s="40">
        <f t="shared" si="12"/>
        <v>3000</v>
      </c>
    </row>
    <row r="53" spans="1:22">
      <c r="E53" s="51"/>
      <c r="F53" s="20"/>
    </row>
    <row r="54" spans="1:22" ht="14">
      <c r="E54" s="681" t="s">
        <v>661</v>
      </c>
      <c r="F54" s="403"/>
      <c r="G54" s="403"/>
      <c r="H54" s="682">
        <f>H50+H46+H15+H7</f>
        <v>1997910</v>
      </c>
      <c r="K54" s="42">
        <f>SUM(K7:K53)</f>
        <v>133027.13470319632</v>
      </c>
      <c r="L54" s="42">
        <f t="shared" ref="L54:V54" si="13">SUM(L7:L53)</f>
        <v>166610.4680365297</v>
      </c>
      <c r="M54" s="42">
        <f t="shared" si="13"/>
        <v>188439.18949771687</v>
      </c>
      <c r="N54" s="42">
        <f t="shared" si="13"/>
        <v>150360.4680365297</v>
      </c>
      <c r="O54" s="42">
        <f t="shared" si="13"/>
        <v>147589.1894977169</v>
      </c>
      <c r="P54" s="42">
        <f t="shared" si="13"/>
        <v>195460.4680365297</v>
      </c>
      <c r="Q54" s="42">
        <f t="shared" si="13"/>
        <v>173027.13470319635</v>
      </c>
      <c r="R54" s="42">
        <f t="shared" si="13"/>
        <v>161546.63242009134</v>
      </c>
      <c r="S54" s="42">
        <f t="shared" si="13"/>
        <v>190127.13470319632</v>
      </c>
      <c r="T54" s="42">
        <f t="shared" si="13"/>
        <v>148672.52283105024</v>
      </c>
      <c r="U54" s="42">
        <f t="shared" si="13"/>
        <v>149277.13470319635</v>
      </c>
      <c r="V54" s="42">
        <f t="shared" si="13"/>
        <v>193772.52283105024</v>
      </c>
    </row>
    <row r="55" spans="1:22" ht="14">
      <c r="A55" s="2"/>
      <c r="E55" s="681" t="s">
        <v>662</v>
      </c>
      <c r="F55" s="403"/>
      <c r="G55" s="403"/>
      <c r="H55" s="683">
        <f>H54/20</f>
        <v>99895.5</v>
      </c>
    </row>
    <row r="56" spans="1:22" ht="14">
      <c r="E56" s="681" t="s">
        <v>663</v>
      </c>
      <c r="F56" s="403"/>
      <c r="G56" s="403"/>
      <c r="H56" s="682">
        <f>H54/130</f>
        <v>15368.538461538461</v>
      </c>
    </row>
    <row r="57" spans="1:22">
      <c r="G57" s="62"/>
      <c r="H57" s="62"/>
    </row>
    <row r="58" spans="1:22">
      <c r="H58" s="40"/>
      <c r="K58" s="442">
        <f t="shared" ref="K58:V58" si="14">SUM($K54:$V54)/12</f>
        <v>166492.5</v>
      </c>
      <c r="L58" s="442">
        <f t="shared" si="14"/>
        <v>166492.5</v>
      </c>
      <c r="M58" s="442">
        <f t="shared" si="14"/>
        <v>166492.5</v>
      </c>
      <c r="N58" s="442">
        <f t="shared" si="14"/>
        <v>166492.5</v>
      </c>
      <c r="O58" s="442">
        <f t="shared" si="14"/>
        <v>166492.5</v>
      </c>
      <c r="P58" s="442">
        <f t="shared" si="14"/>
        <v>166492.5</v>
      </c>
      <c r="Q58" s="442">
        <f t="shared" si="14"/>
        <v>166492.5</v>
      </c>
      <c r="R58" s="442">
        <f t="shared" si="14"/>
        <v>166492.5</v>
      </c>
      <c r="S58" s="442">
        <f t="shared" si="14"/>
        <v>166492.5</v>
      </c>
      <c r="T58" s="442">
        <f t="shared" si="14"/>
        <v>166492.5</v>
      </c>
      <c r="U58" s="442">
        <f t="shared" si="14"/>
        <v>166492.5</v>
      </c>
      <c r="V58" s="442">
        <f t="shared" si="14"/>
        <v>166492.5</v>
      </c>
    </row>
    <row r="60" spans="1:22">
      <c r="K60" s="442"/>
      <c r="L60" s="442"/>
      <c r="M60" s="442"/>
      <c r="N60" s="442"/>
      <c r="O60" s="442"/>
      <c r="P60" s="442"/>
      <c r="Q60" s="442"/>
      <c r="R60" s="442"/>
      <c r="S60" s="442"/>
      <c r="T60" s="442"/>
      <c r="U60" s="442"/>
      <c r="V60" s="442"/>
    </row>
    <row r="62" spans="1:22"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</row>
  </sheetData>
  <mergeCells count="2">
    <mergeCell ref="B1:I1"/>
    <mergeCell ref="E3:F3"/>
  </mergeCells>
  <phoneticPr fontId="4" type="noConversion"/>
  <pageMargins left="0.75" right="0.75" top="1" bottom="1" header="0.5" footer="0.5"/>
  <pageSetup paperSize="9" scale="76" orientation="portrait" horizontalDpi="4294967293" verticalDpi="429496729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#8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44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6"/>
  <sheetViews>
    <sheetView workbookViewId="0">
      <selection activeCell="R51" sqref="R51"/>
    </sheetView>
  </sheetViews>
  <sheetFormatPr baseColWidth="10" defaultColWidth="8.83203125" defaultRowHeight="13"/>
  <cols>
    <col min="1" max="1" width="5.5" customWidth="1"/>
    <col min="2" max="2" width="4.6640625" customWidth="1"/>
    <col min="4" max="4" width="28.1640625" style="18" customWidth="1"/>
    <col min="5" max="5" width="10.6640625" style="13" customWidth="1"/>
    <col min="6" max="6" width="10.6640625" customWidth="1"/>
    <col min="7" max="8" width="11" customWidth="1"/>
    <col min="9" max="9" width="29.1640625" customWidth="1"/>
  </cols>
  <sheetData>
    <row r="1" spans="1:11" ht="16">
      <c r="B1" s="684" t="s">
        <v>67</v>
      </c>
      <c r="C1" s="684"/>
      <c r="D1" s="684"/>
      <c r="E1" s="684"/>
      <c r="F1" s="684"/>
      <c r="G1" s="684"/>
      <c r="H1" s="684"/>
      <c r="I1" s="684"/>
      <c r="J1" s="8"/>
      <c r="K1" s="8"/>
    </row>
    <row r="2" spans="1:11">
      <c r="E2" s="21"/>
      <c r="F2" s="1"/>
      <c r="G2" s="1"/>
      <c r="H2" s="1"/>
      <c r="I2" s="1"/>
      <c r="J2" s="1"/>
      <c r="K2" s="1"/>
    </row>
    <row r="3" spans="1:11" ht="56">
      <c r="C3" s="2"/>
      <c r="E3" s="687" t="s">
        <v>73</v>
      </c>
      <c r="F3" s="688"/>
      <c r="G3" s="44" t="s">
        <v>145</v>
      </c>
      <c r="H3" s="44" t="s">
        <v>144</v>
      </c>
      <c r="I3" s="3" t="s">
        <v>74</v>
      </c>
      <c r="J3" s="3" t="s">
        <v>116</v>
      </c>
      <c r="K3" s="3"/>
    </row>
    <row r="4" spans="1:11" ht="28">
      <c r="E4" s="50" t="s">
        <v>75</v>
      </c>
      <c r="F4" s="24" t="s">
        <v>76</v>
      </c>
    </row>
    <row r="5" spans="1:11">
      <c r="B5" s="2"/>
      <c r="E5" s="22"/>
      <c r="F5" s="19"/>
    </row>
    <row r="6" spans="1:11">
      <c r="A6" s="2" t="s">
        <v>8</v>
      </c>
      <c r="B6" s="2"/>
      <c r="E6" s="22"/>
      <c r="F6" s="19"/>
    </row>
    <row r="7" spans="1:11">
      <c r="B7" s="2" t="s">
        <v>25</v>
      </c>
      <c r="E7" s="22"/>
      <c r="F7" s="19"/>
      <c r="H7" s="42"/>
      <c r="J7" t="s">
        <v>117</v>
      </c>
    </row>
    <row r="8" spans="1:11">
      <c r="B8" s="2"/>
      <c r="C8" t="s">
        <v>119</v>
      </c>
      <c r="E8" s="22"/>
      <c r="F8" s="19"/>
      <c r="H8" s="42"/>
    </row>
    <row r="9" spans="1:11">
      <c r="B9" s="2"/>
      <c r="D9" s="18" t="s">
        <v>108</v>
      </c>
      <c r="E9" s="22"/>
      <c r="F9" s="19"/>
      <c r="H9" s="40"/>
    </row>
    <row r="10" spans="1:11">
      <c r="B10" s="2"/>
      <c r="C10" t="s">
        <v>118</v>
      </c>
      <c r="E10" s="22"/>
      <c r="F10" s="19"/>
      <c r="H10" s="42"/>
    </row>
    <row r="11" spans="1:11">
      <c r="B11" s="2"/>
      <c r="D11" s="18" t="s">
        <v>109</v>
      </c>
      <c r="E11" s="22"/>
      <c r="F11" s="19"/>
      <c r="H11" s="40"/>
    </row>
    <row r="12" spans="1:11">
      <c r="B12" s="2"/>
      <c r="E12" s="22"/>
      <c r="F12" s="19"/>
      <c r="G12" s="42"/>
      <c r="H12" s="42"/>
    </row>
    <row r="13" spans="1:11">
      <c r="B13" s="2" t="s">
        <v>143</v>
      </c>
      <c r="E13" s="22"/>
      <c r="F13" s="19"/>
      <c r="G13" s="42"/>
      <c r="H13" s="42"/>
    </row>
    <row r="14" spans="1:11">
      <c r="B14" s="2"/>
      <c r="C14" t="s">
        <v>68</v>
      </c>
      <c r="E14" s="22"/>
      <c r="F14" s="19"/>
      <c r="G14" s="42"/>
      <c r="H14" s="59"/>
    </row>
    <row r="15" spans="1:11">
      <c r="B15" s="2"/>
      <c r="C15" t="s">
        <v>146</v>
      </c>
      <c r="E15" s="22"/>
      <c r="F15" s="19"/>
      <c r="G15" s="42"/>
      <c r="H15" s="59"/>
    </row>
    <row r="16" spans="1:11">
      <c r="B16" s="2"/>
      <c r="E16" s="22"/>
      <c r="F16" s="19"/>
      <c r="G16" s="42"/>
      <c r="H16" s="42"/>
    </row>
    <row r="17" spans="2:10">
      <c r="B17" s="2" t="s">
        <v>142</v>
      </c>
      <c r="E17" s="22"/>
      <c r="F17" s="19"/>
      <c r="G17" s="42"/>
      <c r="H17" s="42"/>
    </row>
    <row r="18" spans="2:10">
      <c r="B18" s="2"/>
      <c r="C18" t="s">
        <v>120</v>
      </c>
      <c r="E18" s="22"/>
      <c r="F18" s="19"/>
      <c r="G18" s="40"/>
      <c r="H18" s="40"/>
    </row>
    <row r="19" spans="2:10">
      <c r="B19" s="2"/>
      <c r="C19" t="s">
        <v>129</v>
      </c>
      <c r="E19" s="22"/>
      <c r="F19" s="19"/>
      <c r="G19" s="40"/>
      <c r="H19" s="40"/>
    </row>
    <row r="20" spans="2:10">
      <c r="B20" s="2"/>
      <c r="C20" t="s">
        <v>133</v>
      </c>
      <c r="E20" s="22"/>
      <c r="F20" s="19"/>
      <c r="G20" s="40"/>
      <c r="H20" s="40"/>
    </row>
    <row r="21" spans="2:10">
      <c r="B21" s="2"/>
      <c r="C21" t="s">
        <v>125</v>
      </c>
      <c r="E21" s="22"/>
      <c r="F21" s="19"/>
      <c r="H21" s="40"/>
    </row>
    <row r="22" spans="2:10">
      <c r="B22" s="2"/>
      <c r="D22" s="18" t="s">
        <v>130</v>
      </c>
      <c r="E22" s="22"/>
      <c r="F22" s="19"/>
      <c r="G22" s="40"/>
      <c r="H22" s="40"/>
    </row>
    <row r="23" spans="2:10">
      <c r="B23" s="2"/>
      <c r="D23" s="18" t="s">
        <v>131</v>
      </c>
      <c r="E23" s="22"/>
      <c r="F23" s="19"/>
      <c r="G23" s="40"/>
      <c r="H23" s="40"/>
    </row>
    <row r="24" spans="2:10">
      <c r="B24" s="2"/>
      <c r="D24" s="18" t="s">
        <v>132</v>
      </c>
      <c r="E24" s="22"/>
      <c r="F24" s="19"/>
      <c r="G24" s="40"/>
      <c r="H24" s="40"/>
    </row>
    <row r="25" spans="2:10">
      <c r="B25" s="2"/>
      <c r="D25" s="18" t="s">
        <v>121</v>
      </c>
      <c r="E25" s="22"/>
      <c r="F25" s="19"/>
      <c r="G25" s="40"/>
      <c r="H25" s="40"/>
    </row>
    <row r="26" spans="2:10">
      <c r="B26" s="2"/>
      <c r="C26" t="s">
        <v>122</v>
      </c>
      <c r="E26" s="22"/>
      <c r="F26" s="19"/>
      <c r="G26" s="41"/>
      <c r="H26" s="40"/>
    </row>
    <row r="27" spans="2:10">
      <c r="B27" s="2"/>
      <c r="C27" t="s">
        <v>136</v>
      </c>
      <c r="E27" s="22"/>
      <c r="F27" s="52"/>
      <c r="G27" s="40"/>
      <c r="H27" s="40"/>
    </row>
    <row r="28" spans="2:10">
      <c r="B28" s="2"/>
      <c r="C28" t="s">
        <v>138</v>
      </c>
      <c r="E28" s="22"/>
      <c r="F28" s="19"/>
      <c r="G28" s="40"/>
      <c r="H28" s="40"/>
    </row>
    <row r="29" spans="2:10">
      <c r="B29" s="2"/>
      <c r="C29" t="s">
        <v>123</v>
      </c>
      <c r="E29" s="22"/>
      <c r="F29" s="52"/>
      <c r="G29" s="40"/>
      <c r="H29" s="40"/>
      <c r="J29" s="13"/>
    </row>
    <row r="30" spans="2:10">
      <c r="B30" s="2"/>
      <c r="C30" t="s">
        <v>124</v>
      </c>
      <c r="E30" s="22"/>
      <c r="F30" s="52"/>
      <c r="G30" s="40"/>
      <c r="H30" s="40"/>
      <c r="J30" s="13"/>
    </row>
    <row r="31" spans="2:10">
      <c r="B31" s="2"/>
      <c r="C31" t="s">
        <v>126</v>
      </c>
      <c r="E31" s="22"/>
      <c r="F31" s="52"/>
      <c r="G31" s="40"/>
      <c r="H31" s="40"/>
      <c r="J31" s="13"/>
    </row>
    <row r="32" spans="2:10">
      <c r="B32" s="2"/>
      <c r="C32" t="s">
        <v>127</v>
      </c>
      <c r="E32" s="22"/>
      <c r="F32" s="52"/>
      <c r="G32" s="40"/>
      <c r="H32" s="40"/>
      <c r="J32" s="13"/>
    </row>
    <row r="33" spans="1:10">
      <c r="B33" s="2"/>
      <c r="C33" t="s">
        <v>128</v>
      </c>
      <c r="E33" s="22"/>
      <c r="F33" s="52"/>
      <c r="G33" s="40"/>
      <c r="H33" s="40"/>
      <c r="J33" s="13"/>
    </row>
    <row r="34" spans="1:10">
      <c r="B34" s="2"/>
      <c r="C34" t="s">
        <v>139</v>
      </c>
      <c r="E34" s="22"/>
      <c r="F34" s="52"/>
      <c r="G34" s="41"/>
      <c r="H34" s="40"/>
      <c r="J34" s="13"/>
    </row>
    <row r="35" spans="1:10">
      <c r="B35" s="2"/>
      <c r="D35" s="18" t="s">
        <v>134</v>
      </c>
      <c r="E35" s="22"/>
      <c r="F35" s="52"/>
      <c r="G35" s="40"/>
      <c r="H35" s="40"/>
      <c r="J35" s="13"/>
    </row>
    <row r="36" spans="1:10">
      <c r="B36" s="2"/>
      <c r="D36" s="18" t="s">
        <v>135</v>
      </c>
      <c r="E36" s="22"/>
      <c r="F36" s="52"/>
      <c r="G36" s="40"/>
      <c r="H36" s="40"/>
      <c r="J36" s="13"/>
    </row>
    <row r="37" spans="1:10">
      <c r="B37" s="2"/>
      <c r="E37" s="22"/>
      <c r="F37" s="19"/>
    </row>
    <row r="38" spans="1:10">
      <c r="B38" s="2" t="s">
        <v>141</v>
      </c>
      <c r="E38" s="22"/>
      <c r="F38" s="19"/>
      <c r="H38" s="43"/>
      <c r="J38" t="s">
        <v>117</v>
      </c>
    </row>
    <row r="39" spans="1:10">
      <c r="C39" t="s">
        <v>69</v>
      </c>
      <c r="E39" s="22"/>
      <c r="F39" s="19"/>
    </row>
    <row r="40" spans="1:10">
      <c r="D40" s="18" t="s">
        <v>70</v>
      </c>
      <c r="E40" s="22"/>
      <c r="F40" s="19"/>
      <c r="H40" s="41"/>
    </row>
    <row r="41" spans="1:10">
      <c r="E41" s="22"/>
      <c r="F41" s="19"/>
    </row>
    <row r="42" spans="1:10">
      <c r="A42" s="2" t="s">
        <v>15</v>
      </c>
      <c r="E42" s="22"/>
      <c r="F42" s="19"/>
    </row>
    <row r="43" spans="1:10">
      <c r="C43" t="s">
        <v>71</v>
      </c>
      <c r="E43" s="22"/>
      <c r="F43" s="19"/>
    </row>
    <row r="44" spans="1:10">
      <c r="E44" s="22"/>
      <c r="F44" s="19"/>
      <c r="G44" s="41"/>
      <c r="H44" s="41"/>
    </row>
    <row r="45" spans="1:10">
      <c r="C45" t="s">
        <v>72</v>
      </c>
      <c r="E45" s="22"/>
      <c r="F45" s="19"/>
    </row>
    <row r="46" spans="1:10">
      <c r="E46" s="51"/>
      <c r="F46" s="20"/>
    </row>
  </sheetData>
  <mergeCells count="2">
    <mergeCell ref="E3:F3"/>
    <mergeCell ref="B1:I1"/>
  </mergeCells>
  <phoneticPr fontId="4" type="noConversion"/>
  <pageMargins left="0.75" right="0.75" top="1" bottom="1" header="0.5" footer="0.5"/>
  <pageSetup paperSize="9" orientation="portrait" horizontalDpi="4294967293" verticalDpi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E68"/>
  <sheetViews>
    <sheetView showGridLines="0" topLeftCell="B1" workbookViewId="0">
      <selection activeCell="B3" sqref="B3:R66"/>
    </sheetView>
  </sheetViews>
  <sheetFormatPr baseColWidth="10" defaultColWidth="9.1640625" defaultRowHeight="13"/>
  <cols>
    <col min="1" max="1" width="2.83203125" style="13" customWidth="1"/>
    <col min="2" max="2" width="7.5" style="13" customWidth="1"/>
    <col min="3" max="3" width="6.83203125" style="13" customWidth="1"/>
    <col min="4" max="4" width="13" style="13" customWidth="1"/>
    <col min="5" max="5" width="10.33203125" style="21" hidden="1" customWidth="1"/>
    <col min="6" max="6" width="9.6640625" style="21" bestFit="1" customWidth="1"/>
    <col min="7" max="8" width="9.1640625" style="21"/>
    <col min="9" max="9" width="9.1640625" style="46"/>
    <col min="10" max="10" width="9.1640625" style="21"/>
    <col min="11" max="11" width="10.1640625" style="21" customWidth="1"/>
    <col min="12" max="12" width="9.1640625" style="21"/>
    <col min="13" max="13" width="9.1640625" style="27"/>
    <col min="14" max="18" width="9.1640625" style="21"/>
    <col min="19" max="19" width="3" style="21" hidden="1" customWidth="1"/>
    <col min="20" max="20" width="0" style="13" hidden="1" customWidth="1"/>
    <col min="21" max="21" width="21.5" style="13" customWidth="1"/>
    <col min="22" max="16384" width="9.1640625" style="13"/>
  </cols>
  <sheetData>
    <row r="1" spans="1:31" ht="16">
      <c r="B1" s="689"/>
      <c r="C1" s="689"/>
      <c r="D1" s="689"/>
      <c r="E1" s="689"/>
      <c r="F1" s="689"/>
      <c r="G1" s="689"/>
      <c r="H1" s="689"/>
      <c r="I1" s="689"/>
      <c r="J1" s="689"/>
      <c r="K1" s="25"/>
      <c r="L1" s="25"/>
      <c r="M1" s="26"/>
      <c r="N1" s="25"/>
      <c r="O1" s="25"/>
      <c r="P1" s="25"/>
      <c r="Q1" s="25"/>
      <c r="R1" s="25"/>
      <c r="S1" s="25"/>
    </row>
    <row r="2" spans="1:31" ht="6" customHeight="1"/>
    <row r="3" spans="1:31">
      <c r="B3" s="13" t="s">
        <v>0</v>
      </c>
      <c r="C3" s="2"/>
      <c r="D3" s="14"/>
      <c r="F3" s="28"/>
      <c r="G3" s="28"/>
      <c r="H3" s="28"/>
      <c r="I3" s="55"/>
      <c r="J3" s="28"/>
      <c r="K3" s="28"/>
      <c r="L3" s="28"/>
      <c r="M3" s="17"/>
      <c r="N3" s="28"/>
      <c r="O3" s="28"/>
      <c r="P3" s="28"/>
      <c r="Q3" s="28"/>
      <c r="R3" s="28"/>
      <c r="S3" s="28"/>
      <c r="U3" s="16"/>
      <c r="V3" s="16"/>
      <c r="W3" s="16"/>
      <c r="Y3" s="16"/>
      <c r="Z3" s="16"/>
      <c r="AA3" s="16"/>
      <c r="AC3" s="16"/>
      <c r="AD3" s="16"/>
      <c r="AE3" s="16"/>
    </row>
    <row r="4" spans="1:31">
      <c r="B4" s="13" t="s">
        <v>77</v>
      </c>
      <c r="C4" s="14" t="s">
        <v>384</v>
      </c>
      <c r="D4" s="14"/>
    </row>
    <row r="5" spans="1:31" ht="12.75" customHeight="1">
      <c r="F5" s="690"/>
      <c r="G5" s="690"/>
      <c r="H5" s="690"/>
      <c r="I5" s="690"/>
      <c r="J5" s="690"/>
      <c r="K5" s="690"/>
      <c r="L5" s="690"/>
      <c r="M5" s="690"/>
    </row>
    <row r="6" spans="1:31" ht="14">
      <c r="C6" s="14" t="s">
        <v>66</v>
      </c>
      <c r="E6" s="15" t="s">
        <v>2</v>
      </c>
      <c r="F6" s="249" t="s">
        <v>99</v>
      </c>
      <c r="G6" s="30" t="s">
        <v>94</v>
      </c>
      <c r="H6" s="249" t="s">
        <v>95</v>
      </c>
      <c r="I6" s="56" t="s">
        <v>100</v>
      </c>
      <c r="J6" s="249" t="s">
        <v>96</v>
      </c>
      <c r="K6" s="30" t="s">
        <v>97</v>
      </c>
      <c r="L6" s="249" t="s">
        <v>98</v>
      </c>
      <c r="M6" s="31" t="s">
        <v>110</v>
      </c>
      <c r="N6" s="249" t="s">
        <v>111</v>
      </c>
      <c r="O6" s="53" t="s">
        <v>112</v>
      </c>
      <c r="P6" s="249" t="s">
        <v>113</v>
      </c>
      <c r="Q6" s="54" t="s">
        <v>114</v>
      </c>
      <c r="R6" s="249" t="s">
        <v>115</v>
      </c>
      <c r="S6" s="15"/>
      <c r="U6" s="14" t="s">
        <v>101</v>
      </c>
    </row>
    <row r="7" spans="1:31" ht="15" customHeight="1">
      <c r="A7" s="32"/>
      <c r="E7" s="15"/>
      <c r="F7" s="250"/>
      <c r="G7" s="15"/>
      <c r="H7" s="250"/>
      <c r="I7" s="45"/>
      <c r="J7" s="250"/>
      <c r="K7" s="15"/>
      <c r="L7" s="250"/>
      <c r="M7" s="15"/>
      <c r="N7" s="250"/>
      <c r="O7" s="15"/>
      <c r="P7" s="250"/>
      <c r="Q7" s="15"/>
      <c r="R7" s="250"/>
      <c r="S7" s="15"/>
    </row>
    <row r="8" spans="1:31">
      <c r="B8" s="13" t="s">
        <v>6</v>
      </c>
      <c r="F8" s="251"/>
      <c r="H8" s="251"/>
      <c r="J8" s="251"/>
      <c r="L8" s="251"/>
      <c r="N8" s="251"/>
      <c r="P8" s="251"/>
      <c r="R8" s="251"/>
    </row>
    <row r="9" spans="1:31" hidden="1">
      <c r="B9" s="14"/>
      <c r="C9" s="33" t="s">
        <v>78</v>
      </c>
      <c r="D9" s="14"/>
      <c r="E9" s="34">
        <v>378</v>
      </c>
      <c r="F9" s="252"/>
      <c r="G9" s="35"/>
      <c r="H9" s="252"/>
      <c r="I9" s="47"/>
      <c r="J9" s="252"/>
      <c r="K9" s="35"/>
      <c r="L9" s="252"/>
      <c r="M9" s="36"/>
      <c r="N9" s="252"/>
      <c r="O9" s="34"/>
      <c r="P9" s="252"/>
      <c r="Q9" s="34"/>
      <c r="R9" s="252"/>
      <c r="S9" s="34"/>
      <c r="T9" s="16" t="s">
        <v>79</v>
      </c>
    </row>
    <row r="10" spans="1:31" hidden="1">
      <c r="C10" s="33" t="s">
        <v>20</v>
      </c>
      <c r="D10" s="16"/>
      <c r="E10" s="34">
        <v>0</v>
      </c>
      <c r="F10" s="252"/>
      <c r="G10" s="35"/>
      <c r="H10" s="252"/>
      <c r="I10" s="47"/>
      <c r="J10" s="252"/>
      <c r="K10" s="35"/>
      <c r="L10" s="252"/>
      <c r="M10" s="36"/>
      <c r="N10" s="252"/>
      <c r="O10" s="34"/>
      <c r="P10" s="252"/>
      <c r="Q10" s="34"/>
      <c r="R10" s="252"/>
      <c r="S10" s="34"/>
      <c r="T10" s="16" t="s">
        <v>79</v>
      </c>
    </row>
    <row r="11" spans="1:31" hidden="1">
      <c r="C11" s="33" t="s">
        <v>80</v>
      </c>
      <c r="D11" s="16"/>
      <c r="E11" s="34">
        <v>1332.29</v>
      </c>
      <c r="F11" s="252"/>
      <c r="G11" s="35"/>
      <c r="H11" s="252"/>
      <c r="I11" s="47"/>
      <c r="J11" s="252"/>
      <c r="K11" s="35"/>
      <c r="L11" s="252"/>
      <c r="M11" s="36"/>
      <c r="N11" s="252"/>
      <c r="O11" s="34"/>
      <c r="P11" s="252"/>
      <c r="Q11" s="34"/>
      <c r="R11" s="252"/>
      <c r="S11" s="34"/>
      <c r="T11" s="16" t="s">
        <v>79</v>
      </c>
    </row>
    <row r="12" spans="1:31" hidden="1">
      <c r="C12" s="33" t="s">
        <v>81</v>
      </c>
      <c r="D12" s="16"/>
      <c r="E12" s="34">
        <v>0</v>
      </c>
      <c r="F12" s="252"/>
      <c r="G12" s="35"/>
      <c r="H12" s="252"/>
      <c r="I12" s="47"/>
      <c r="J12" s="252"/>
      <c r="K12" s="35"/>
      <c r="L12" s="252"/>
      <c r="M12" s="36"/>
      <c r="N12" s="252"/>
      <c r="O12" s="34"/>
      <c r="P12" s="252"/>
      <c r="Q12" s="34"/>
      <c r="R12" s="252"/>
      <c r="S12" s="34"/>
      <c r="T12" s="16" t="s">
        <v>79</v>
      </c>
      <c r="U12" s="23"/>
      <c r="V12" s="23"/>
      <c r="W12" s="23"/>
      <c r="X12" s="23"/>
      <c r="Y12" s="23"/>
      <c r="Z12" s="23"/>
      <c r="AA12" s="23"/>
    </row>
    <row r="13" spans="1:31" hidden="1">
      <c r="C13" s="33" t="s">
        <v>82</v>
      </c>
      <c r="D13" s="16"/>
      <c r="E13" s="34">
        <v>262</v>
      </c>
      <c r="F13" s="252"/>
      <c r="G13" s="35"/>
      <c r="H13" s="252"/>
      <c r="I13" s="47"/>
      <c r="J13" s="252"/>
      <c r="K13" s="35"/>
      <c r="L13" s="252"/>
      <c r="M13" s="36"/>
      <c r="N13" s="252"/>
      <c r="O13" s="34"/>
      <c r="P13" s="252"/>
      <c r="Q13" s="34"/>
      <c r="R13" s="252"/>
      <c r="S13" s="34"/>
      <c r="T13" s="16" t="s">
        <v>79</v>
      </c>
    </row>
    <row r="14" spans="1:31" hidden="1">
      <c r="C14" s="33" t="s">
        <v>24</v>
      </c>
      <c r="D14" s="16"/>
      <c r="E14" s="34">
        <v>0</v>
      </c>
      <c r="F14" s="252"/>
      <c r="G14" s="35"/>
      <c r="H14" s="252"/>
      <c r="I14" s="47"/>
      <c r="J14" s="252"/>
      <c r="K14" s="35"/>
      <c r="L14" s="252"/>
      <c r="M14" s="36"/>
      <c r="N14" s="252"/>
      <c r="O14" s="34"/>
      <c r="P14" s="252"/>
      <c r="Q14" s="34"/>
      <c r="R14" s="252"/>
      <c r="S14" s="34"/>
      <c r="T14" s="16" t="s">
        <v>79</v>
      </c>
    </row>
    <row r="15" spans="1:31" hidden="1">
      <c r="C15" s="33" t="s">
        <v>83</v>
      </c>
      <c r="D15" s="16"/>
      <c r="E15" s="34">
        <v>1455.8410000000001</v>
      </c>
      <c r="F15" s="252"/>
      <c r="G15" s="35"/>
      <c r="H15" s="252"/>
      <c r="I15" s="47"/>
      <c r="J15" s="252"/>
      <c r="K15" s="35"/>
      <c r="L15" s="252"/>
      <c r="M15" s="36"/>
      <c r="N15" s="252"/>
      <c r="O15" s="34"/>
      <c r="P15" s="252"/>
      <c r="Q15" s="34"/>
      <c r="R15" s="252"/>
      <c r="S15" s="34"/>
      <c r="T15" s="16" t="s">
        <v>79</v>
      </c>
    </row>
    <row r="16" spans="1:31" hidden="1">
      <c r="C16" s="33" t="s">
        <v>84</v>
      </c>
      <c r="D16" s="16"/>
      <c r="E16" s="34">
        <v>75</v>
      </c>
      <c r="F16" s="252"/>
      <c r="G16" s="35"/>
      <c r="H16" s="252"/>
      <c r="I16" s="47"/>
      <c r="J16" s="252"/>
      <c r="K16" s="35"/>
      <c r="L16" s="252"/>
      <c r="M16" s="36"/>
      <c r="N16" s="252"/>
      <c r="O16" s="34"/>
      <c r="P16" s="252"/>
      <c r="Q16" s="34"/>
      <c r="R16" s="252"/>
      <c r="S16" s="34"/>
      <c r="T16" s="16"/>
    </row>
    <row r="17" spans="2:20" hidden="1">
      <c r="C17" s="33" t="s">
        <v>85</v>
      </c>
      <c r="D17" s="16"/>
      <c r="E17" s="34">
        <v>847</v>
      </c>
      <c r="F17" s="252"/>
      <c r="G17" s="35"/>
      <c r="H17" s="252"/>
      <c r="I17" s="47"/>
      <c r="J17" s="252"/>
      <c r="K17" s="35"/>
      <c r="L17" s="252"/>
      <c r="M17" s="36"/>
      <c r="N17" s="252"/>
      <c r="O17" s="34"/>
      <c r="P17" s="252"/>
      <c r="Q17" s="34"/>
      <c r="R17" s="252"/>
      <c r="S17" s="34"/>
      <c r="T17" s="16" t="s">
        <v>79</v>
      </c>
    </row>
    <row r="18" spans="2:20" hidden="1">
      <c r="B18" s="14" t="s">
        <v>86</v>
      </c>
      <c r="C18" s="14"/>
      <c r="D18" s="14"/>
      <c r="E18" s="37">
        <f>SUM(E9:E17)</f>
        <v>4350.1310000000003</v>
      </c>
      <c r="F18" s="253">
        <f>SUM(F9:F17)</f>
        <v>0</v>
      </c>
      <c r="G18" s="37">
        <f>SUM(G9:G17)</f>
        <v>0</v>
      </c>
      <c r="H18" s="253">
        <f>F18-G18</f>
        <v>0</v>
      </c>
      <c r="I18" s="38">
        <f>G18-H18</f>
        <v>0</v>
      </c>
      <c r="J18" s="253">
        <f>SUM(J9:J17)</f>
        <v>0</v>
      </c>
      <c r="K18" s="37">
        <f>SUM(K9:K17)</f>
        <v>0</v>
      </c>
      <c r="L18" s="253">
        <f>J18-K18</f>
        <v>0</v>
      </c>
      <c r="M18" s="37">
        <f t="shared" ref="M18:R18" si="0">SUM(M9:M17)</f>
        <v>0</v>
      </c>
      <c r="N18" s="253">
        <f t="shared" si="0"/>
        <v>0</v>
      </c>
      <c r="O18" s="37">
        <f t="shared" si="0"/>
        <v>0</v>
      </c>
      <c r="P18" s="253">
        <f t="shared" si="0"/>
        <v>0</v>
      </c>
      <c r="Q18" s="37">
        <f t="shared" si="0"/>
        <v>0</v>
      </c>
      <c r="R18" s="253">
        <f t="shared" si="0"/>
        <v>0</v>
      </c>
      <c r="S18" s="37">
        <f>SUM(S9:S17)</f>
        <v>0</v>
      </c>
      <c r="T18" s="37">
        <f>SUM(T9:T17)</f>
        <v>0</v>
      </c>
    </row>
    <row r="19" spans="2:20">
      <c r="B19" s="14"/>
      <c r="C19" s="14"/>
      <c r="D19" s="14"/>
      <c r="E19" s="37"/>
      <c r="F19" s="253"/>
      <c r="G19" s="37"/>
      <c r="H19" s="253"/>
      <c r="I19" s="48"/>
      <c r="J19" s="253"/>
      <c r="K19" s="37"/>
      <c r="L19" s="253"/>
      <c r="M19" s="37"/>
      <c r="N19" s="253"/>
      <c r="O19" s="37"/>
      <c r="P19" s="253"/>
      <c r="Q19" s="37"/>
      <c r="R19" s="253"/>
      <c r="S19" s="37"/>
    </row>
    <row r="20" spans="2:20">
      <c r="B20" s="13" t="s">
        <v>8</v>
      </c>
      <c r="F20" s="251"/>
      <c r="H20" s="251"/>
      <c r="I20" s="49"/>
      <c r="J20" s="251"/>
      <c r="L20" s="251"/>
      <c r="M20" s="21"/>
      <c r="N20" s="251"/>
      <c r="P20" s="251"/>
      <c r="R20" s="251"/>
    </row>
    <row r="21" spans="2:20">
      <c r="B21" s="114"/>
      <c r="C21" s="170" t="s">
        <v>87</v>
      </c>
      <c r="D21" s="114"/>
      <c r="E21" s="171">
        <v>10295.962</v>
      </c>
      <c r="F21" s="254"/>
      <c r="G21" s="172"/>
      <c r="H21" s="254"/>
      <c r="I21" s="172"/>
      <c r="J21" s="254"/>
      <c r="K21" s="172"/>
      <c r="L21" s="254"/>
      <c r="M21" s="172"/>
      <c r="N21" s="254"/>
      <c r="O21" s="171"/>
      <c r="P21" s="254"/>
      <c r="Q21" s="171"/>
      <c r="R21" s="254"/>
      <c r="S21" s="34"/>
      <c r="T21" s="16"/>
    </row>
    <row r="22" spans="2:20">
      <c r="B22" s="108"/>
      <c r="C22" s="173" t="s">
        <v>88</v>
      </c>
      <c r="D22" s="108"/>
      <c r="E22" s="121">
        <v>6487.0983999999999</v>
      </c>
      <c r="F22" s="255"/>
      <c r="G22" s="122"/>
      <c r="H22" s="255"/>
      <c r="I22" s="174"/>
      <c r="J22" s="255"/>
      <c r="K22" s="122"/>
      <c r="L22" s="255"/>
      <c r="M22" s="122"/>
      <c r="N22" s="255"/>
      <c r="O22" s="121"/>
      <c r="P22" s="255"/>
      <c r="Q22" s="121"/>
      <c r="R22" s="255"/>
      <c r="S22" s="34"/>
      <c r="T22" s="16"/>
    </row>
    <row r="23" spans="2:20">
      <c r="B23" s="108"/>
      <c r="C23" s="175" t="s">
        <v>162</v>
      </c>
      <c r="D23" s="108"/>
      <c r="E23" s="121"/>
      <c r="F23" s="255"/>
      <c r="G23" s="122"/>
      <c r="H23" s="255"/>
      <c r="I23" s="174"/>
      <c r="J23" s="255"/>
      <c r="K23" s="122"/>
      <c r="L23" s="255"/>
      <c r="M23" s="122"/>
      <c r="N23" s="255"/>
      <c r="O23" s="121"/>
      <c r="P23" s="255"/>
      <c r="Q23" s="121"/>
      <c r="R23" s="255"/>
      <c r="S23" s="34"/>
      <c r="T23" s="16"/>
    </row>
    <row r="24" spans="2:20">
      <c r="B24" s="108"/>
      <c r="C24" s="173"/>
      <c r="D24" s="176" t="s">
        <v>157</v>
      </c>
      <c r="E24" s="177"/>
      <c r="F24" s="256"/>
      <c r="G24" s="178"/>
      <c r="H24" s="256"/>
      <c r="I24" s="179"/>
      <c r="J24" s="256"/>
      <c r="K24" s="178"/>
      <c r="L24" s="256"/>
      <c r="M24" s="178"/>
      <c r="N24" s="256"/>
      <c r="O24" s="177"/>
      <c r="P24" s="256"/>
      <c r="Q24" s="177"/>
      <c r="R24" s="256"/>
      <c r="S24" s="34"/>
      <c r="T24" s="16"/>
    </row>
    <row r="25" spans="2:20">
      <c r="B25" s="108"/>
      <c r="C25" s="173"/>
      <c r="D25" s="176" t="s">
        <v>165</v>
      </c>
      <c r="E25" s="177"/>
      <c r="F25" s="256"/>
      <c r="G25" s="178"/>
      <c r="H25" s="256"/>
      <c r="I25" s="179"/>
      <c r="J25" s="256"/>
      <c r="K25" s="178"/>
      <c r="L25" s="256"/>
      <c r="M25" s="178"/>
      <c r="N25" s="256"/>
      <c r="O25" s="177"/>
      <c r="P25" s="256"/>
      <c r="Q25" s="177"/>
      <c r="R25" s="256"/>
      <c r="S25" s="34"/>
      <c r="T25" s="16"/>
    </row>
    <row r="26" spans="2:20">
      <c r="B26" s="108"/>
      <c r="C26" s="173"/>
      <c r="D26" s="176" t="s">
        <v>158</v>
      </c>
      <c r="E26" s="177"/>
      <c r="F26" s="256"/>
      <c r="G26" s="178"/>
      <c r="H26" s="256"/>
      <c r="I26" s="178"/>
      <c r="J26" s="256"/>
      <c r="K26" s="178"/>
      <c r="L26" s="256"/>
      <c r="M26" s="178"/>
      <c r="N26" s="256"/>
      <c r="O26" s="178"/>
      <c r="P26" s="256"/>
      <c r="Q26" s="177"/>
      <c r="R26" s="256"/>
      <c r="S26" s="34"/>
      <c r="T26" s="16"/>
    </row>
    <row r="27" spans="2:20">
      <c r="B27" s="108"/>
      <c r="C27" s="173"/>
      <c r="D27" s="176" t="s">
        <v>159</v>
      </c>
      <c r="E27" s="177"/>
      <c r="F27" s="256"/>
      <c r="G27" s="178"/>
      <c r="H27" s="256"/>
      <c r="I27" s="179"/>
      <c r="J27" s="256"/>
      <c r="K27" s="178"/>
      <c r="L27" s="256"/>
      <c r="M27" s="178"/>
      <c r="N27" s="256"/>
      <c r="O27" s="179"/>
      <c r="P27" s="256"/>
      <c r="Q27" s="177"/>
      <c r="R27" s="256"/>
      <c r="S27" s="34"/>
      <c r="T27" s="16"/>
    </row>
    <row r="28" spans="2:20">
      <c r="B28" s="108"/>
      <c r="C28" s="175" t="s">
        <v>163</v>
      </c>
      <c r="D28" s="108"/>
      <c r="E28" s="121">
        <v>0</v>
      </c>
      <c r="F28" s="255"/>
      <c r="G28" s="122"/>
      <c r="H28" s="255"/>
      <c r="I28" s="174"/>
      <c r="J28" s="255"/>
      <c r="K28" s="122"/>
      <c r="L28" s="255"/>
      <c r="M28" s="122"/>
      <c r="N28" s="255"/>
      <c r="O28" s="121"/>
      <c r="P28" s="255"/>
      <c r="Q28" s="121"/>
      <c r="R28" s="255"/>
      <c r="S28" s="34"/>
      <c r="T28" s="16"/>
    </row>
    <row r="29" spans="2:20">
      <c r="B29" s="108"/>
      <c r="C29" s="173"/>
      <c r="D29" s="108" t="s">
        <v>157</v>
      </c>
      <c r="E29" s="121"/>
      <c r="F29" s="255"/>
      <c r="G29" s="122"/>
      <c r="H29" s="255"/>
      <c r="I29" s="174"/>
      <c r="J29" s="255"/>
      <c r="K29" s="122"/>
      <c r="L29" s="255"/>
      <c r="M29" s="122"/>
      <c r="N29" s="255"/>
      <c r="O29" s="121"/>
      <c r="P29" s="255"/>
      <c r="Q29" s="121"/>
      <c r="R29" s="255"/>
      <c r="S29" s="34"/>
      <c r="T29" s="16"/>
    </row>
    <row r="30" spans="2:20">
      <c r="B30" s="108"/>
      <c r="C30" s="173"/>
      <c r="D30" s="108" t="s">
        <v>159</v>
      </c>
      <c r="E30" s="121"/>
      <c r="F30" s="255"/>
      <c r="G30" s="178"/>
      <c r="H30" s="256"/>
      <c r="I30" s="179"/>
      <c r="J30" s="256"/>
      <c r="K30" s="178"/>
      <c r="L30" s="256"/>
      <c r="M30" s="178"/>
      <c r="N30" s="256"/>
      <c r="O30" s="179"/>
      <c r="P30" s="256"/>
      <c r="Q30" s="177"/>
      <c r="R30" s="256"/>
      <c r="S30" s="34"/>
      <c r="T30" s="16"/>
    </row>
    <row r="31" spans="2:20">
      <c r="B31" s="108"/>
      <c r="C31" s="173" t="s">
        <v>89</v>
      </c>
      <c r="D31" s="108"/>
      <c r="E31" s="121">
        <v>0</v>
      </c>
      <c r="F31" s="255"/>
      <c r="G31" s="122"/>
      <c r="H31" s="255"/>
      <c r="I31" s="174"/>
      <c r="J31" s="255"/>
      <c r="K31" s="122"/>
      <c r="L31" s="255"/>
      <c r="M31" s="122"/>
      <c r="N31" s="255"/>
      <c r="O31" s="121"/>
      <c r="P31" s="255"/>
      <c r="Q31" s="121"/>
      <c r="R31" s="255"/>
      <c r="S31" s="34"/>
      <c r="T31" s="16"/>
    </row>
    <row r="32" spans="2:20">
      <c r="B32" s="108"/>
      <c r="C32" s="173" t="s">
        <v>9</v>
      </c>
      <c r="D32" s="108"/>
      <c r="E32" s="121"/>
      <c r="F32" s="255"/>
      <c r="G32" s="122"/>
      <c r="H32" s="255"/>
      <c r="I32" s="174"/>
      <c r="J32" s="255"/>
      <c r="K32" s="122"/>
      <c r="L32" s="255"/>
      <c r="M32" s="122"/>
      <c r="N32" s="255"/>
      <c r="O32" s="121"/>
      <c r="P32" s="255"/>
      <c r="Q32" s="121"/>
      <c r="R32" s="255"/>
      <c r="S32" s="34"/>
      <c r="T32" s="16"/>
    </row>
    <row r="33" spans="1:20">
      <c r="B33" s="108"/>
      <c r="C33" s="173" t="s">
        <v>90</v>
      </c>
      <c r="D33" s="108"/>
      <c r="E33" s="121">
        <v>1056.085</v>
      </c>
      <c r="F33" s="255"/>
      <c r="G33" s="122"/>
      <c r="H33" s="255"/>
      <c r="I33" s="174"/>
      <c r="J33" s="255"/>
      <c r="K33" s="122"/>
      <c r="L33" s="255"/>
      <c r="M33" s="122"/>
      <c r="N33" s="255"/>
      <c r="O33" s="121"/>
      <c r="P33" s="255"/>
      <c r="Q33" s="121"/>
      <c r="R33" s="255"/>
      <c r="S33" s="34"/>
      <c r="T33" s="16"/>
    </row>
    <row r="34" spans="1:20">
      <c r="B34" s="108"/>
      <c r="C34" s="173" t="s">
        <v>19</v>
      </c>
      <c r="D34" s="108"/>
      <c r="E34" s="121">
        <v>0</v>
      </c>
      <c r="F34" s="255"/>
      <c r="G34" s="122"/>
      <c r="H34" s="255"/>
      <c r="I34" s="174"/>
      <c r="J34" s="255"/>
      <c r="K34" s="122"/>
      <c r="L34" s="255"/>
      <c r="M34" s="122"/>
      <c r="N34" s="255"/>
      <c r="O34" s="121"/>
      <c r="P34" s="255"/>
      <c r="Q34" s="121"/>
      <c r="R34" s="255"/>
      <c r="S34" s="34"/>
      <c r="T34" s="16"/>
    </row>
    <row r="35" spans="1:20">
      <c r="B35" s="108"/>
      <c r="C35" s="173" t="s">
        <v>160</v>
      </c>
      <c r="D35" s="108"/>
      <c r="E35" s="121">
        <v>4099.3780000000006</v>
      </c>
      <c r="F35" s="255"/>
      <c r="G35" s="122"/>
      <c r="H35" s="255"/>
      <c r="I35" s="122"/>
      <c r="J35" s="255"/>
      <c r="K35" s="122"/>
      <c r="L35" s="255"/>
      <c r="M35" s="122"/>
      <c r="N35" s="255"/>
      <c r="O35" s="121"/>
      <c r="P35" s="255"/>
      <c r="Q35" s="121"/>
      <c r="R35" s="255"/>
      <c r="S35" s="34"/>
      <c r="T35" s="16"/>
    </row>
    <row r="36" spans="1:20">
      <c r="B36" s="108"/>
      <c r="C36" s="173" t="s">
        <v>91</v>
      </c>
      <c r="D36" s="108"/>
      <c r="E36" s="121">
        <v>205.6</v>
      </c>
      <c r="F36" s="255"/>
      <c r="G36" s="122"/>
      <c r="H36" s="255"/>
      <c r="I36" s="174"/>
      <c r="J36" s="255"/>
      <c r="K36" s="122"/>
      <c r="L36" s="255"/>
      <c r="M36" s="122"/>
      <c r="N36" s="255"/>
      <c r="O36" s="121"/>
      <c r="P36" s="255"/>
      <c r="Q36" s="121"/>
      <c r="R36" s="255"/>
      <c r="S36" s="34"/>
      <c r="T36" s="16" t="s">
        <v>79</v>
      </c>
    </row>
    <row r="37" spans="1:20">
      <c r="B37" s="118" t="s">
        <v>92</v>
      </c>
      <c r="C37" s="118"/>
      <c r="D37" s="118"/>
      <c r="E37" s="119">
        <f>SUM(E21:E36)</f>
        <v>22144.123399999997</v>
      </c>
      <c r="F37" s="257">
        <f>F21+F22+F35+F32</f>
        <v>0</v>
      </c>
      <c r="G37" s="119">
        <f t="shared" ref="G37:R37" si="1">G21+G22+G35+G32</f>
        <v>0</v>
      </c>
      <c r="H37" s="257">
        <f t="shared" si="1"/>
        <v>0</v>
      </c>
      <c r="I37" s="120">
        <f t="shared" si="1"/>
        <v>0</v>
      </c>
      <c r="J37" s="257">
        <f t="shared" si="1"/>
        <v>0</v>
      </c>
      <c r="K37" s="119">
        <f t="shared" si="1"/>
        <v>0</v>
      </c>
      <c r="L37" s="257">
        <f t="shared" si="1"/>
        <v>0</v>
      </c>
      <c r="M37" s="119">
        <f t="shared" si="1"/>
        <v>0</v>
      </c>
      <c r="N37" s="257">
        <f t="shared" si="1"/>
        <v>0</v>
      </c>
      <c r="O37" s="119">
        <f t="shared" si="1"/>
        <v>0</v>
      </c>
      <c r="P37" s="257">
        <f t="shared" si="1"/>
        <v>0</v>
      </c>
      <c r="Q37" s="119">
        <f t="shared" si="1"/>
        <v>0</v>
      </c>
      <c r="R37" s="257">
        <f t="shared" si="1"/>
        <v>0</v>
      </c>
      <c r="S37" s="37">
        <f>SUM(S21:S36)</f>
        <v>0</v>
      </c>
      <c r="T37" s="37">
        <f>SUM(T21:T36)</f>
        <v>0</v>
      </c>
    </row>
    <row r="38" spans="1:20" ht="15" hidden="1" customHeight="1">
      <c r="A38" s="32" t="s">
        <v>36</v>
      </c>
      <c r="B38" s="108"/>
      <c r="C38" s="108"/>
      <c r="D38" s="108"/>
      <c r="E38" s="121"/>
      <c r="F38" s="255"/>
      <c r="G38" s="121"/>
      <c r="H38" s="255"/>
      <c r="I38" s="122"/>
      <c r="J38" s="255"/>
      <c r="K38" s="121"/>
      <c r="L38" s="255"/>
      <c r="M38" s="121"/>
      <c r="N38" s="255"/>
      <c r="O38" s="121"/>
      <c r="P38" s="255"/>
      <c r="Q38" s="121"/>
      <c r="R38" s="255"/>
      <c r="T38" s="21"/>
    </row>
    <row r="39" spans="1:20" ht="12.75" hidden="1" customHeight="1">
      <c r="B39" s="118" t="s">
        <v>6</v>
      </c>
      <c r="C39" s="118"/>
      <c r="D39" s="108"/>
      <c r="E39" s="119">
        <f>SUM(E40:E48)</f>
        <v>1940</v>
      </c>
      <c r="F39" s="257">
        <f>SUM(F40:F48)</f>
        <v>0</v>
      </c>
      <c r="G39" s="119">
        <f>SUM(G40:G48)</f>
        <v>0</v>
      </c>
      <c r="H39" s="257">
        <f t="shared" ref="H39:R39" si="2">SUM(H40:H48)</f>
        <v>0</v>
      </c>
      <c r="I39" s="120">
        <f t="shared" si="2"/>
        <v>0</v>
      </c>
      <c r="J39" s="257">
        <f t="shared" si="2"/>
        <v>0</v>
      </c>
      <c r="K39" s="119">
        <f t="shared" si="2"/>
        <v>0</v>
      </c>
      <c r="L39" s="257">
        <f t="shared" si="2"/>
        <v>0</v>
      </c>
      <c r="M39" s="119">
        <f t="shared" si="2"/>
        <v>0</v>
      </c>
      <c r="N39" s="257">
        <f t="shared" si="2"/>
        <v>0</v>
      </c>
      <c r="O39" s="119">
        <f t="shared" si="2"/>
        <v>0</v>
      </c>
      <c r="P39" s="257">
        <f t="shared" si="2"/>
        <v>0</v>
      </c>
      <c r="Q39" s="119">
        <f t="shared" si="2"/>
        <v>0</v>
      </c>
      <c r="R39" s="257">
        <f t="shared" si="2"/>
        <v>0</v>
      </c>
      <c r="S39" s="37">
        <f>SUM(S40:S48)</f>
        <v>0</v>
      </c>
      <c r="T39" s="37">
        <f>SUM(T40:T48)</f>
        <v>0</v>
      </c>
    </row>
    <row r="40" spans="1:20" ht="12.75" hidden="1" customHeight="1">
      <c r="B40" s="118"/>
      <c r="C40" s="123" t="s">
        <v>19</v>
      </c>
      <c r="D40" s="108"/>
      <c r="E40" s="116">
        <v>0</v>
      </c>
      <c r="F40" s="258">
        <v>0</v>
      </c>
      <c r="G40" s="116">
        <v>0</v>
      </c>
      <c r="H40" s="258">
        <v>0</v>
      </c>
      <c r="I40" s="117">
        <v>0</v>
      </c>
      <c r="J40" s="258">
        <v>0</v>
      </c>
      <c r="K40" s="116">
        <v>0</v>
      </c>
      <c r="L40" s="258">
        <v>0</v>
      </c>
      <c r="M40" s="116">
        <v>0</v>
      </c>
      <c r="N40" s="258">
        <v>0</v>
      </c>
      <c r="O40" s="116">
        <v>0</v>
      </c>
      <c r="P40" s="258">
        <v>0</v>
      </c>
      <c r="Q40" s="116">
        <v>0</v>
      </c>
      <c r="R40" s="258">
        <v>0</v>
      </c>
      <c r="S40" s="34">
        <v>0</v>
      </c>
      <c r="T40" s="34">
        <v>0</v>
      </c>
    </row>
    <row r="41" spans="1:20" ht="12.75" hidden="1" customHeight="1">
      <c r="B41" s="108"/>
      <c r="C41" s="115" t="s">
        <v>20</v>
      </c>
      <c r="D41" s="108"/>
      <c r="E41" s="116">
        <v>1640</v>
      </c>
      <c r="F41" s="258">
        <v>0</v>
      </c>
      <c r="G41" s="116">
        <v>0</v>
      </c>
      <c r="H41" s="258">
        <v>0</v>
      </c>
      <c r="I41" s="117">
        <v>0</v>
      </c>
      <c r="J41" s="258">
        <v>0</v>
      </c>
      <c r="K41" s="116">
        <v>0</v>
      </c>
      <c r="L41" s="258">
        <v>0</v>
      </c>
      <c r="M41" s="116">
        <v>0</v>
      </c>
      <c r="N41" s="258">
        <v>0</v>
      </c>
      <c r="O41" s="116">
        <v>0</v>
      </c>
      <c r="P41" s="258">
        <v>0</v>
      </c>
      <c r="Q41" s="116">
        <v>0</v>
      </c>
      <c r="R41" s="258">
        <v>0</v>
      </c>
      <c r="S41" s="34">
        <v>0</v>
      </c>
      <c r="T41" s="34">
        <v>0</v>
      </c>
    </row>
    <row r="42" spans="1:20" ht="12.75" hidden="1" customHeight="1">
      <c r="B42" s="108"/>
      <c r="C42" s="115" t="s">
        <v>21</v>
      </c>
      <c r="D42" s="108"/>
      <c r="E42" s="116">
        <v>0</v>
      </c>
      <c r="F42" s="258">
        <v>0</v>
      </c>
      <c r="G42" s="116">
        <v>0</v>
      </c>
      <c r="H42" s="258">
        <v>0</v>
      </c>
      <c r="I42" s="117">
        <v>0</v>
      </c>
      <c r="J42" s="258">
        <v>0</v>
      </c>
      <c r="K42" s="116">
        <v>0</v>
      </c>
      <c r="L42" s="258">
        <v>0</v>
      </c>
      <c r="M42" s="116">
        <v>0</v>
      </c>
      <c r="N42" s="258">
        <v>0</v>
      </c>
      <c r="O42" s="116">
        <v>0</v>
      </c>
      <c r="P42" s="258">
        <v>0</v>
      </c>
      <c r="Q42" s="116">
        <v>0</v>
      </c>
      <c r="R42" s="258">
        <v>0</v>
      </c>
      <c r="S42" s="34">
        <v>0</v>
      </c>
      <c r="T42" s="34">
        <v>0</v>
      </c>
    </row>
    <row r="43" spans="1:20" ht="12.75" hidden="1" customHeight="1">
      <c r="B43" s="108"/>
      <c r="C43" s="115" t="s">
        <v>22</v>
      </c>
      <c r="D43" s="108"/>
      <c r="E43" s="116">
        <v>0</v>
      </c>
      <c r="F43" s="258">
        <v>0</v>
      </c>
      <c r="G43" s="116">
        <v>0</v>
      </c>
      <c r="H43" s="258">
        <v>0</v>
      </c>
      <c r="I43" s="117">
        <v>0</v>
      </c>
      <c r="J43" s="258">
        <v>0</v>
      </c>
      <c r="K43" s="116">
        <v>0</v>
      </c>
      <c r="L43" s="258">
        <v>0</v>
      </c>
      <c r="M43" s="116">
        <v>0</v>
      </c>
      <c r="N43" s="258">
        <v>0</v>
      </c>
      <c r="O43" s="116">
        <v>0</v>
      </c>
      <c r="P43" s="258">
        <v>0</v>
      </c>
      <c r="Q43" s="116">
        <v>0</v>
      </c>
      <c r="R43" s="258">
        <v>0</v>
      </c>
      <c r="S43" s="34">
        <v>0</v>
      </c>
      <c r="T43" s="34">
        <v>0</v>
      </c>
    </row>
    <row r="44" spans="1:20" ht="12.75" hidden="1" customHeight="1">
      <c r="B44" s="108"/>
      <c r="C44" s="115" t="s">
        <v>23</v>
      </c>
      <c r="D44" s="108"/>
      <c r="E44" s="116">
        <v>0</v>
      </c>
      <c r="F44" s="258">
        <v>0</v>
      </c>
      <c r="G44" s="116">
        <v>0</v>
      </c>
      <c r="H44" s="258">
        <v>0</v>
      </c>
      <c r="I44" s="117">
        <v>0</v>
      </c>
      <c r="J44" s="258">
        <v>0</v>
      </c>
      <c r="K44" s="116">
        <v>0</v>
      </c>
      <c r="L44" s="258">
        <v>0</v>
      </c>
      <c r="M44" s="116">
        <v>0</v>
      </c>
      <c r="N44" s="258">
        <v>0</v>
      </c>
      <c r="O44" s="116">
        <v>0</v>
      </c>
      <c r="P44" s="258">
        <v>0</v>
      </c>
      <c r="Q44" s="116">
        <v>0</v>
      </c>
      <c r="R44" s="258">
        <v>0</v>
      </c>
      <c r="S44" s="34">
        <v>0</v>
      </c>
      <c r="T44" s="34">
        <v>0</v>
      </c>
    </row>
    <row r="45" spans="1:20" ht="12.75" hidden="1" customHeight="1">
      <c r="B45" s="108"/>
      <c r="C45" s="115" t="s">
        <v>24</v>
      </c>
      <c r="D45" s="108"/>
      <c r="E45" s="116">
        <v>0</v>
      </c>
      <c r="F45" s="258">
        <v>0</v>
      </c>
      <c r="G45" s="116">
        <v>0</v>
      </c>
      <c r="H45" s="258">
        <v>0</v>
      </c>
      <c r="I45" s="117">
        <v>0</v>
      </c>
      <c r="J45" s="258">
        <v>0</v>
      </c>
      <c r="K45" s="116">
        <v>0</v>
      </c>
      <c r="L45" s="258">
        <v>0</v>
      </c>
      <c r="M45" s="116">
        <v>0</v>
      </c>
      <c r="N45" s="258">
        <v>0</v>
      </c>
      <c r="O45" s="116">
        <v>0</v>
      </c>
      <c r="P45" s="258">
        <v>0</v>
      </c>
      <c r="Q45" s="116">
        <v>0</v>
      </c>
      <c r="R45" s="258">
        <v>0</v>
      </c>
      <c r="S45" s="34">
        <v>0</v>
      </c>
      <c r="T45" s="34">
        <v>0</v>
      </c>
    </row>
    <row r="46" spans="1:20" ht="12.75" hidden="1" customHeight="1">
      <c r="B46" s="108"/>
      <c r="C46" s="115" t="s">
        <v>29</v>
      </c>
      <c r="D46" s="108"/>
      <c r="E46" s="116">
        <v>0</v>
      </c>
      <c r="F46" s="258">
        <v>0</v>
      </c>
      <c r="G46" s="116">
        <v>0</v>
      </c>
      <c r="H46" s="258">
        <v>0</v>
      </c>
      <c r="I46" s="117">
        <v>0</v>
      </c>
      <c r="J46" s="258">
        <v>0</v>
      </c>
      <c r="K46" s="116">
        <v>0</v>
      </c>
      <c r="L46" s="258">
        <v>0</v>
      </c>
      <c r="M46" s="116">
        <v>0</v>
      </c>
      <c r="N46" s="258">
        <v>0</v>
      </c>
      <c r="O46" s="116">
        <v>0</v>
      </c>
      <c r="P46" s="258">
        <v>0</v>
      </c>
      <c r="Q46" s="116">
        <v>0</v>
      </c>
      <c r="R46" s="258">
        <v>0</v>
      </c>
      <c r="S46" s="34">
        <v>0</v>
      </c>
      <c r="T46" s="34">
        <v>0</v>
      </c>
    </row>
    <row r="47" spans="1:20" ht="12.75" hidden="1" customHeight="1">
      <c r="B47" s="108"/>
      <c r="C47" s="115" t="s">
        <v>7</v>
      </c>
      <c r="D47" s="108"/>
      <c r="E47" s="116">
        <v>0</v>
      </c>
      <c r="F47" s="258">
        <v>0</v>
      </c>
      <c r="G47" s="116">
        <v>0</v>
      </c>
      <c r="H47" s="258">
        <v>0</v>
      </c>
      <c r="I47" s="117">
        <v>0</v>
      </c>
      <c r="J47" s="258">
        <v>0</v>
      </c>
      <c r="K47" s="116">
        <v>0</v>
      </c>
      <c r="L47" s="258">
        <v>0</v>
      </c>
      <c r="M47" s="116">
        <v>0</v>
      </c>
      <c r="N47" s="258">
        <v>0</v>
      </c>
      <c r="O47" s="116">
        <v>0</v>
      </c>
      <c r="P47" s="258">
        <v>0</v>
      </c>
      <c r="Q47" s="116">
        <v>0</v>
      </c>
      <c r="R47" s="258">
        <v>0</v>
      </c>
      <c r="S47" s="34">
        <v>0</v>
      </c>
      <c r="T47" s="34">
        <v>0</v>
      </c>
    </row>
    <row r="48" spans="1:20" ht="12.75" hidden="1" customHeight="1">
      <c r="B48" s="108"/>
      <c r="C48" s="115" t="s">
        <v>34</v>
      </c>
      <c r="D48" s="108"/>
      <c r="E48" s="116">
        <v>300</v>
      </c>
      <c r="F48" s="258">
        <v>0</v>
      </c>
      <c r="G48" s="116">
        <v>0</v>
      </c>
      <c r="H48" s="258">
        <v>0</v>
      </c>
      <c r="I48" s="117">
        <v>0</v>
      </c>
      <c r="J48" s="258">
        <v>0</v>
      </c>
      <c r="K48" s="116">
        <v>0</v>
      </c>
      <c r="L48" s="258">
        <v>0</v>
      </c>
      <c r="M48" s="116">
        <v>0</v>
      </c>
      <c r="N48" s="258">
        <v>0</v>
      </c>
      <c r="O48" s="116">
        <v>0</v>
      </c>
      <c r="P48" s="258">
        <v>0</v>
      </c>
      <c r="Q48" s="116">
        <v>0</v>
      </c>
      <c r="R48" s="258">
        <v>0</v>
      </c>
      <c r="S48" s="34">
        <v>0</v>
      </c>
      <c r="T48" s="34">
        <v>0</v>
      </c>
    </row>
    <row r="49" spans="2:20" ht="12.75" hidden="1" customHeight="1">
      <c r="B49" s="118" t="s">
        <v>8</v>
      </c>
      <c r="C49" s="118"/>
      <c r="D49" s="108"/>
      <c r="E49" s="119">
        <f>SUM(E50:E57)</f>
        <v>1112</v>
      </c>
      <c r="F49" s="257">
        <f>SUM(F50:F57)</f>
        <v>0</v>
      </c>
      <c r="G49" s="119">
        <f>SUM(G50:G57)</f>
        <v>0</v>
      </c>
      <c r="H49" s="257">
        <f t="shared" ref="H49:R49" si="3">SUM(H50:H57)</f>
        <v>0</v>
      </c>
      <c r="I49" s="120">
        <f t="shared" si="3"/>
        <v>0</v>
      </c>
      <c r="J49" s="257">
        <f t="shared" si="3"/>
        <v>0</v>
      </c>
      <c r="K49" s="119">
        <f t="shared" si="3"/>
        <v>0</v>
      </c>
      <c r="L49" s="257">
        <f t="shared" si="3"/>
        <v>0</v>
      </c>
      <c r="M49" s="119">
        <f t="shared" si="3"/>
        <v>0</v>
      </c>
      <c r="N49" s="257">
        <f t="shared" si="3"/>
        <v>0</v>
      </c>
      <c r="O49" s="119">
        <f t="shared" si="3"/>
        <v>0</v>
      </c>
      <c r="P49" s="257">
        <f t="shared" si="3"/>
        <v>0</v>
      </c>
      <c r="Q49" s="119">
        <f t="shared" si="3"/>
        <v>0</v>
      </c>
      <c r="R49" s="257">
        <f t="shared" si="3"/>
        <v>0</v>
      </c>
      <c r="S49" s="37">
        <f>SUM(S50:S57)</f>
        <v>0</v>
      </c>
      <c r="T49" s="37">
        <f>SUM(T50:T57)</f>
        <v>0</v>
      </c>
    </row>
    <row r="50" spans="2:20" ht="12.75" hidden="1" customHeight="1">
      <c r="B50" s="108"/>
      <c r="C50" s="115" t="s">
        <v>25</v>
      </c>
      <c r="D50" s="108"/>
      <c r="E50" s="116">
        <v>479</v>
      </c>
      <c r="F50" s="258"/>
      <c r="G50" s="116"/>
      <c r="H50" s="258"/>
      <c r="I50" s="117"/>
      <c r="J50" s="258"/>
      <c r="K50" s="116"/>
      <c r="L50" s="258"/>
      <c r="M50" s="116"/>
      <c r="N50" s="258"/>
      <c r="O50" s="116"/>
      <c r="P50" s="258"/>
      <c r="Q50" s="116"/>
      <c r="R50" s="258"/>
      <c r="S50" s="34"/>
      <c r="T50" s="34"/>
    </row>
    <row r="51" spans="2:20" ht="12.75" hidden="1" customHeight="1">
      <c r="B51" s="108"/>
      <c r="C51" s="115" t="s">
        <v>26</v>
      </c>
      <c r="D51" s="108"/>
      <c r="E51" s="116">
        <v>633</v>
      </c>
      <c r="F51" s="258"/>
      <c r="G51" s="116"/>
      <c r="H51" s="258"/>
      <c r="I51" s="117"/>
      <c r="J51" s="258"/>
      <c r="K51" s="116"/>
      <c r="L51" s="258"/>
      <c r="M51" s="116"/>
      <c r="N51" s="258"/>
      <c r="O51" s="116"/>
      <c r="P51" s="258"/>
      <c r="Q51" s="116"/>
      <c r="R51" s="258"/>
      <c r="S51" s="34"/>
      <c r="T51" s="34"/>
    </row>
    <row r="52" spans="2:20" ht="12.75" hidden="1" customHeight="1">
      <c r="B52" s="108"/>
      <c r="C52" s="115" t="s">
        <v>9</v>
      </c>
      <c r="D52" s="108"/>
      <c r="E52" s="116">
        <v>0</v>
      </c>
      <c r="F52" s="258"/>
      <c r="G52" s="116"/>
      <c r="H52" s="258"/>
      <c r="I52" s="117"/>
      <c r="J52" s="258"/>
      <c r="K52" s="116"/>
      <c r="L52" s="258"/>
      <c r="M52" s="116"/>
      <c r="N52" s="258"/>
      <c r="O52" s="116"/>
      <c r="P52" s="258"/>
      <c r="Q52" s="116"/>
      <c r="R52" s="258"/>
      <c r="S52" s="34"/>
      <c r="T52" s="34"/>
    </row>
    <row r="53" spans="2:20" ht="12.75" hidden="1" customHeight="1">
      <c r="B53" s="108"/>
      <c r="C53" s="115" t="s">
        <v>27</v>
      </c>
      <c r="D53" s="108"/>
      <c r="E53" s="116">
        <v>0</v>
      </c>
      <c r="F53" s="258"/>
      <c r="G53" s="116"/>
      <c r="H53" s="258"/>
      <c r="I53" s="117"/>
      <c r="J53" s="258"/>
      <c r="K53" s="116"/>
      <c r="L53" s="258"/>
      <c r="M53" s="116"/>
      <c r="N53" s="258"/>
      <c r="O53" s="116"/>
      <c r="P53" s="258"/>
      <c r="Q53" s="116"/>
      <c r="R53" s="258"/>
      <c r="S53" s="34"/>
      <c r="T53" s="34"/>
    </row>
    <row r="54" spans="2:20" ht="12.75" hidden="1" customHeight="1">
      <c r="B54" s="108"/>
      <c r="C54" s="115" t="s">
        <v>21</v>
      </c>
      <c r="D54" s="108"/>
      <c r="E54" s="116">
        <v>0</v>
      </c>
      <c r="F54" s="258"/>
      <c r="G54" s="116"/>
      <c r="H54" s="258"/>
      <c r="I54" s="117"/>
      <c r="J54" s="258"/>
      <c r="K54" s="116"/>
      <c r="L54" s="258"/>
      <c r="M54" s="116"/>
      <c r="N54" s="258"/>
      <c r="O54" s="116"/>
      <c r="P54" s="258"/>
      <c r="Q54" s="116"/>
      <c r="R54" s="258"/>
      <c r="S54" s="34"/>
      <c r="T54" s="34"/>
    </row>
    <row r="55" spans="2:20" ht="12.75" hidden="1" customHeight="1">
      <c r="B55" s="108"/>
      <c r="C55" s="115" t="s">
        <v>19</v>
      </c>
      <c r="D55" s="108"/>
      <c r="E55" s="116">
        <v>0</v>
      </c>
      <c r="F55" s="258"/>
      <c r="G55" s="116"/>
      <c r="H55" s="258"/>
      <c r="I55" s="117"/>
      <c r="J55" s="258"/>
      <c r="K55" s="116"/>
      <c r="L55" s="258"/>
      <c r="M55" s="116"/>
      <c r="N55" s="258"/>
      <c r="O55" s="116"/>
      <c r="P55" s="258"/>
      <c r="Q55" s="116"/>
      <c r="R55" s="258"/>
      <c r="S55" s="34"/>
      <c r="T55" s="34"/>
    </row>
    <row r="56" spans="2:20" ht="12.75" hidden="1" customHeight="1">
      <c r="B56" s="108"/>
      <c r="C56" s="115" t="s">
        <v>30</v>
      </c>
      <c r="D56" s="108"/>
      <c r="E56" s="116">
        <v>0</v>
      </c>
      <c r="F56" s="258"/>
      <c r="G56" s="116"/>
      <c r="H56" s="258"/>
      <c r="I56" s="117"/>
      <c r="J56" s="258"/>
      <c r="K56" s="116"/>
      <c r="L56" s="258"/>
      <c r="M56" s="116"/>
      <c r="N56" s="258"/>
      <c r="O56" s="116"/>
      <c r="P56" s="258"/>
      <c r="Q56" s="116"/>
      <c r="R56" s="258"/>
      <c r="S56" s="34"/>
      <c r="T56" s="34"/>
    </row>
    <row r="57" spans="2:20" ht="12.75" hidden="1" customHeight="1">
      <c r="B57" s="108"/>
      <c r="C57" s="115" t="s">
        <v>10</v>
      </c>
      <c r="D57" s="108"/>
      <c r="E57" s="116">
        <v>0</v>
      </c>
      <c r="F57" s="258"/>
      <c r="G57" s="116"/>
      <c r="H57" s="258"/>
      <c r="I57" s="117"/>
      <c r="J57" s="258"/>
      <c r="K57" s="116"/>
      <c r="L57" s="258"/>
      <c r="M57" s="116"/>
      <c r="N57" s="258"/>
      <c r="O57" s="116"/>
      <c r="P57" s="258"/>
      <c r="Q57" s="116"/>
      <c r="R57" s="258"/>
      <c r="S57" s="34"/>
      <c r="T57" s="34"/>
    </row>
    <row r="58" spans="2:20" ht="12.75" customHeight="1">
      <c r="B58" s="108"/>
      <c r="C58" s="108"/>
      <c r="D58" s="108"/>
      <c r="E58" s="121"/>
      <c r="F58" s="255"/>
      <c r="G58" s="121"/>
      <c r="H58" s="255"/>
      <c r="I58" s="122"/>
      <c r="J58" s="255"/>
      <c r="K58" s="121"/>
      <c r="L58" s="255"/>
      <c r="M58" s="121"/>
      <c r="N58" s="255"/>
      <c r="O58" s="121"/>
      <c r="P58" s="255"/>
      <c r="Q58" s="121"/>
      <c r="R58" s="255"/>
      <c r="T58" s="21"/>
    </row>
    <row r="59" spans="2:20">
      <c r="B59" s="118" t="s">
        <v>383</v>
      </c>
      <c r="C59" s="108"/>
      <c r="D59" s="108"/>
      <c r="E59" s="119">
        <f>E37-E18+E49-E39</f>
        <v>16965.992399999996</v>
      </c>
      <c r="F59" s="257">
        <f>F37+F18+F49+F39</f>
        <v>0</v>
      </c>
      <c r="G59" s="120">
        <f>G37+G18+G49+G39</f>
        <v>0</v>
      </c>
      <c r="H59" s="257">
        <f t="shared" ref="H59:R59" si="4">H37+H18+H49+H39</f>
        <v>0</v>
      </c>
      <c r="I59" s="120">
        <f t="shared" si="4"/>
        <v>0</v>
      </c>
      <c r="J59" s="257">
        <f t="shared" si="4"/>
        <v>0</v>
      </c>
      <c r="K59" s="119">
        <f t="shared" si="4"/>
        <v>0</v>
      </c>
      <c r="L59" s="257">
        <f t="shared" si="4"/>
        <v>0</v>
      </c>
      <c r="M59" s="119">
        <f t="shared" si="4"/>
        <v>0</v>
      </c>
      <c r="N59" s="257">
        <f t="shared" si="4"/>
        <v>0</v>
      </c>
      <c r="O59" s="119">
        <f t="shared" si="4"/>
        <v>0</v>
      </c>
      <c r="P59" s="257">
        <f t="shared" si="4"/>
        <v>0</v>
      </c>
      <c r="Q59" s="119">
        <f t="shared" si="4"/>
        <v>0</v>
      </c>
      <c r="R59" s="257">
        <f t="shared" si="4"/>
        <v>0</v>
      </c>
      <c r="S59" s="38">
        <f>S37+S18+S49+S39</f>
        <v>0</v>
      </c>
      <c r="T59" s="38">
        <f>T37+T18+T49+T39</f>
        <v>0</v>
      </c>
    </row>
    <row r="60" spans="2:20" ht="6" customHeight="1">
      <c r="B60" s="108"/>
      <c r="C60" s="108"/>
      <c r="D60" s="108"/>
      <c r="E60" s="121"/>
      <c r="F60" s="255"/>
      <c r="G60" s="121"/>
      <c r="H60" s="255"/>
      <c r="I60" s="122"/>
      <c r="J60" s="255"/>
      <c r="K60" s="121"/>
      <c r="L60" s="255"/>
      <c r="M60" s="121"/>
      <c r="N60" s="255"/>
      <c r="O60" s="121"/>
      <c r="P60" s="255"/>
      <c r="Q60" s="121"/>
      <c r="R60" s="255"/>
    </row>
    <row r="61" spans="2:20">
      <c r="B61" s="108" t="s">
        <v>12</v>
      </c>
      <c r="C61" s="108" t="s">
        <v>9</v>
      </c>
      <c r="D61" s="108"/>
      <c r="E61" s="85">
        <f>-E28-E52</f>
        <v>0</v>
      </c>
      <c r="F61" s="255">
        <f>-F32</f>
        <v>0</v>
      </c>
      <c r="G61" s="85">
        <f t="shared" ref="G61:R61" si="5">-G32</f>
        <v>0</v>
      </c>
      <c r="H61" s="258">
        <f t="shared" si="5"/>
        <v>0</v>
      </c>
      <c r="I61" s="117">
        <f t="shared" si="5"/>
        <v>0</v>
      </c>
      <c r="J61" s="260">
        <f t="shared" si="5"/>
        <v>0</v>
      </c>
      <c r="K61" s="85">
        <f t="shared" si="5"/>
        <v>0</v>
      </c>
      <c r="L61" s="258">
        <f t="shared" si="5"/>
        <v>0</v>
      </c>
      <c r="M61" s="85">
        <f t="shared" si="5"/>
        <v>0</v>
      </c>
      <c r="N61" s="258">
        <f t="shared" si="5"/>
        <v>0</v>
      </c>
      <c r="O61" s="85">
        <f t="shared" si="5"/>
        <v>0</v>
      </c>
      <c r="P61" s="258">
        <f t="shared" si="5"/>
        <v>0</v>
      </c>
      <c r="Q61" s="85">
        <f t="shared" si="5"/>
        <v>0</v>
      </c>
      <c r="R61" s="258">
        <f t="shared" si="5"/>
        <v>0</v>
      </c>
      <c r="S61" s="28"/>
    </row>
    <row r="62" spans="2:20">
      <c r="B62" s="124" t="s">
        <v>14</v>
      </c>
      <c r="C62" s="124" t="s">
        <v>93</v>
      </c>
      <c r="D62" s="124"/>
      <c r="E62" s="125">
        <v>720</v>
      </c>
      <c r="F62" s="259" t="e">
        <f>-'assumptions completed'!#REF!</f>
        <v>#REF!</v>
      </c>
      <c r="G62" s="126" t="e">
        <f>$F$62/12</f>
        <v>#REF!</v>
      </c>
      <c r="H62" s="259" t="e">
        <f t="shared" ref="H62:R62" si="6">$F$62/12</f>
        <v>#REF!</v>
      </c>
      <c r="I62" s="126" t="e">
        <f t="shared" si="6"/>
        <v>#REF!</v>
      </c>
      <c r="J62" s="259" t="e">
        <f t="shared" si="6"/>
        <v>#REF!</v>
      </c>
      <c r="K62" s="126" t="e">
        <f t="shared" si="6"/>
        <v>#REF!</v>
      </c>
      <c r="L62" s="259" t="e">
        <f t="shared" si="6"/>
        <v>#REF!</v>
      </c>
      <c r="M62" s="126" t="e">
        <f t="shared" si="6"/>
        <v>#REF!</v>
      </c>
      <c r="N62" s="259" t="e">
        <f t="shared" si="6"/>
        <v>#REF!</v>
      </c>
      <c r="O62" s="125" t="e">
        <f t="shared" si="6"/>
        <v>#REF!</v>
      </c>
      <c r="P62" s="259" t="e">
        <f t="shared" si="6"/>
        <v>#REF!</v>
      </c>
      <c r="Q62" s="125" t="e">
        <f t="shared" si="6"/>
        <v>#REF!</v>
      </c>
      <c r="R62" s="259" t="e">
        <f t="shared" si="6"/>
        <v>#REF!</v>
      </c>
      <c r="S62" s="34"/>
    </row>
    <row r="63" spans="2:20" ht="6" customHeight="1">
      <c r="F63" s="251"/>
      <c r="H63" s="251"/>
      <c r="I63" s="39"/>
      <c r="J63" s="251"/>
      <c r="L63" s="251"/>
      <c r="M63" s="21"/>
      <c r="N63" s="251"/>
      <c r="P63" s="251"/>
      <c r="R63" s="251"/>
    </row>
    <row r="64" spans="2:20">
      <c r="B64" s="2" t="s">
        <v>386</v>
      </c>
      <c r="E64" s="37">
        <f>E59+E61+E62</f>
        <v>17685.992399999996</v>
      </c>
      <c r="F64" s="253" t="e">
        <f>F59+F61+F62</f>
        <v>#REF!</v>
      </c>
      <c r="G64" s="37" t="e">
        <f>G59+G61+G62</f>
        <v>#REF!</v>
      </c>
      <c r="H64" s="253" t="e">
        <f t="shared" ref="H64:R64" si="7">H59+H61+H62</f>
        <v>#REF!</v>
      </c>
      <c r="I64" s="38" t="e">
        <f t="shared" si="7"/>
        <v>#REF!</v>
      </c>
      <c r="J64" s="253" t="e">
        <f t="shared" si="7"/>
        <v>#REF!</v>
      </c>
      <c r="K64" s="37" t="e">
        <f t="shared" si="7"/>
        <v>#REF!</v>
      </c>
      <c r="L64" s="253" t="e">
        <f t="shared" si="7"/>
        <v>#REF!</v>
      </c>
      <c r="M64" s="37" t="e">
        <f t="shared" si="7"/>
        <v>#REF!</v>
      </c>
      <c r="N64" s="253" t="e">
        <f t="shared" si="7"/>
        <v>#REF!</v>
      </c>
      <c r="O64" s="37" t="e">
        <f t="shared" si="7"/>
        <v>#REF!</v>
      </c>
      <c r="P64" s="253" t="e">
        <f t="shared" si="7"/>
        <v>#REF!</v>
      </c>
      <c r="Q64" s="37" t="e">
        <f t="shared" si="7"/>
        <v>#REF!</v>
      </c>
      <c r="R64" s="253" t="e">
        <f t="shared" si="7"/>
        <v>#REF!</v>
      </c>
      <c r="S64" s="37"/>
    </row>
    <row r="65" spans="2:19">
      <c r="B65" s="14"/>
      <c r="E65" s="37"/>
      <c r="F65" s="253"/>
      <c r="G65" s="37"/>
      <c r="H65" s="253"/>
      <c r="I65" s="38"/>
      <c r="J65" s="253"/>
      <c r="K65" s="37"/>
      <c r="L65" s="253"/>
      <c r="M65" s="37"/>
      <c r="N65" s="253"/>
      <c r="O65" s="37"/>
      <c r="P65" s="253"/>
      <c r="Q65" s="37"/>
      <c r="R65" s="253"/>
      <c r="S65" s="37"/>
    </row>
    <row r="66" spans="2:19">
      <c r="B66" s="14" t="s">
        <v>28</v>
      </c>
      <c r="E66" s="37">
        <f>E37+E62+E61+E49</f>
        <v>23976.123399999997</v>
      </c>
      <c r="F66" s="253" t="e">
        <f>F37+F62+F61+F49</f>
        <v>#REF!</v>
      </c>
      <c r="G66" s="37" t="e">
        <f>G37+G62+G61+G49</f>
        <v>#REF!</v>
      </c>
      <c r="H66" s="253" t="e">
        <f t="shared" ref="H66:R66" si="8">H37+H62+H61+H49</f>
        <v>#REF!</v>
      </c>
      <c r="I66" s="38" t="e">
        <f t="shared" si="8"/>
        <v>#REF!</v>
      </c>
      <c r="J66" s="253" t="e">
        <f t="shared" si="8"/>
        <v>#REF!</v>
      </c>
      <c r="K66" s="37" t="e">
        <f t="shared" si="8"/>
        <v>#REF!</v>
      </c>
      <c r="L66" s="253" t="e">
        <f t="shared" si="8"/>
        <v>#REF!</v>
      </c>
      <c r="M66" s="37" t="e">
        <f t="shared" si="8"/>
        <v>#REF!</v>
      </c>
      <c r="N66" s="253" t="e">
        <f t="shared" si="8"/>
        <v>#REF!</v>
      </c>
      <c r="O66" s="37" t="e">
        <f t="shared" si="8"/>
        <v>#REF!</v>
      </c>
      <c r="P66" s="253" t="e">
        <f t="shared" si="8"/>
        <v>#REF!</v>
      </c>
      <c r="Q66" s="37" t="e">
        <f t="shared" si="8"/>
        <v>#REF!</v>
      </c>
      <c r="R66" s="253" t="e">
        <f t="shared" si="8"/>
        <v>#REF!</v>
      </c>
      <c r="S66" s="37"/>
    </row>
    <row r="67" spans="2:19" ht="6" customHeight="1"/>
    <row r="68" spans="2:19">
      <c r="D68" s="16"/>
      <c r="E68" s="28"/>
      <c r="F68" s="28"/>
      <c r="G68" s="28"/>
      <c r="H68" s="28"/>
      <c r="I68" s="55"/>
      <c r="J68" s="28"/>
      <c r="K68" s="28"/>
      <c r="L68" s="28"/>
      <c r="M68" s="17"/>
      <c r="N68" s="28"/>
      <c r="O68" s="28"/>
      <c r="P68" s="28"/>
      <c r="Q68" s="28"/>
      <c r="R68" s="28"/>
      <c r="S68" s="28"/>
    </row>
  </sheetData>
  <mergeCells count="3">
    <mergeCell ref="B1:J1"/>
    <mergeCell ref="F5:I5"/>
    <mergeCell ref="J5:M5"/>
  </mergeCells>
  <pageMargins left="0.75" right="0.75" top="1" bottom="1" header="0.5" footer="0.5"/>
  <pageSetup paperSize="9" orientation="portrait" horizontalDpi="4294967293" verticalDpi="429496729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E68"/>
  <sheetViews>
    <sheetView showGridLines="0" workbookViewId="0">
      <selection activeCell="B3" sqref="B3:R66"/>
    </sheetView>
  </sheetViews>
  <sheetFormatPr baseColWidth="10" defaultColWidth="9.1640625" defaultRowHeight="13"/>
  <cols>
    <col min="1" max="1" width="2.83203125" style="13" customWidth="1"/>
    <col min="2" max="2" width="9.5" style="13" customWidth="1"/>
    <col min="3" max="3" width="6.83203125" style="13" customWidth="1"/>
    <col min="4" max="4" width="16" style="13" customWidth="1"/>
    <col min="5" max="5" width="10.33203125" style="21" hidden="1" customWidth="1"/>
    <col min="6" max="6" width="9.6640625" style="21" bestFit="1" customWidth="1"/>
    <col min="7" max="8" width="9.1640625" style="21"/>
    <col min="9" max="9" width="9.1640625" style="46"/>
    <col min="10" max="10" width="9.1640625" style="21"/>
    <col min="11" max="11" width="10.1640625" style="21" customWidth="1"/>
    <col min="12" max="12" width="9.1640625" style="21"/>
    <col min="13" max="13" width="9.1640625" style="27"/>
    <col min="14" max="18" width="9.1640625" style="21"/>
    <col min="19" max="19" width="3" style="21" hidden="1" customWidth="1"/>
    <col min="20" max="20" width="0" style="13" hidden="1" customWidth="1"/>
    <col min="21" max="21" width="21.5" style="13" customWidth="1"/>
    <col min="22" max="16384" width="9.1640625" style="13"/>
  </cols>
  <sheetData>
    <row r="1" spans="1:31" ht="16">
      <c r="B1" s="689"/>
      <c r="C1" s="689"/>
      <c r="D1" s="689"/>
      <c r="E1" s="689"/>
      <c r="F1" s="689"/>
      <c r="G1" s="689"/>
      <c r="H1" s="689"/>
      <c r="I1" s="689"/>
      <c r="J1" s="689"/>
      <c r="K1" s="25"/>
      <c r="L1" s="25"/>
      <c r="M1" s="26"/>
      <c r="N1" s="25"/>
      <c r="O1" s="25"/>
      <c r="P1" s="25"/>
      <c r="Q1" s="25"/>
      <c r="R1" s="25"/>
      <c r="S1" s="25"/>
    </row>
    <row r="2" spans="1:31" ht="6" customHeight="1"/>
    <row r="3" spans="1:31">
      <c r="B3" s="13" t="s">
        <v>0</v>
      </c>
      <c r="C3" s="2"/>
      <c r="D3" s="14"/>
      <c r="F3" s="28"/>
      <c r="G3" s="28"/>
      <c r="H3" s="28"/>
      <c r="I3" s="55"/>
      <c r="J3" s="28"/>
      <c r="K3" s="28"/>
      <c r="L3" s="28"/>
      <c r="M3" s="17"/>
      <c r="N3" s="28"/>
      <c r="O3" s="28"/>
      <c r="P3" s="28"/>
      <c r="Q3" s="28"/>
      <c r="R3" s="28"/>
      <c r="S3" s="28"/>
      <c r="U3" s="16"/>
      <c r="V3" s="16"/>
      <c r="W3" s="16"/>
      <c r="Y3" s="16"/>
      <c r="Z3" s="16"/>
      <c r="AA3" s="16"/>
      <c r="AC3" s="16"/>
      <c r="AD3" s="16"/>
      <c r="AE3" s="16"/>
    </row>
    <row r="4" spans="1:31">
      <c r="B4" s="13" t="s">
        <v>77</v>
      </c>
      <c r="C4" s="14" t="s">
        <v>384</v>
      </c>
      <c r="D4" s="14"/>
    </row>
    <row r="5" spans="1:31" ht="12.75" customHeight="1">
      <c r="F5" s="690"/>
      <c r="G5" s="690"/>
      <c r="H5" s="690"/>
      <c r="I5" s="690"/>
      <c r="J5" s="690"/>
      <c r="K5" s="690"/>
      <c r="L5" s="690"/>
      <c r="M5" s="690"/>
    </row>
    <row r="6" spans="1:31" ht="14">
      <c r="C6" s="14" t="s">
        <v>66</v>
      </c>
      <c r="E6" s="15" t="s">
        <v>2</v>
      </c>
      <c r="F6" s="249" t="s">
        <v>99</v>
      </c>
      <c r="G6" s="30" t="s">
        <v>94</v>
      </c>
      <c r="H6" s="249" t="s">
        <v>95</v>
      </c>
      <c r="I6" s="56" t="s">
        <v>100</v>
      </c>
      <c r="J6" s="249" t="s">
        <v>96</v>
      </c>
      <c r="K6" s="30" t="s">
        <v>97</v>
      </c>
      <c r="L6" s="249" t="s">
        <v>98</v>
      </c>
      <c r="M6" s="31" t="s">
        <v>110</v>
      </c>
      <c r="N6" s="249" t="s">
        <v>111</v>
      </c>
      <c r="O6" s="53" t="s">
        <v>112</v>
      </c>
      <c r="P6" s="249" t="s">
        <v>113</v>
      </c>
      <c r="Q6" s="54" t="s">
        <v>114</v>
      </c>
      <c r="R6" s="249" t="s">
        <v>115</v>
      </c>
      <c r="S6" s="15"/>
      <c r="U6" s="14" t="s">
        <v>101</v>
      </c>
    </row>
    <row r="7" spans="1:31" ht="15" customHeight="1">
      <c r="A7" s="32"/>
      <c r="E7" s="15"/>
      <c r="F7" s="250"/>
      <c r="G7" s="15">
        <v>31</v>
      </c>
      <c r="H7" s="250">
        <v>31</v>
      </c>
      <c r="I7" s="45">
        <v>30</v>
      </c>
      <c r="J7" s="250">
        <v>31</v>
      </c>
      <c r="K7" s="15">
        <v>30</v>
      </c>
      <c r="L7" s="250">
        <v>31</v>
      </c>
      <c r="M7" s="15">
        <v>31</v>
      </c>
      <c r="N7" s="250">
        <v>28</v>
      </c>
      <c r="O7" s="15">
        <v>31</v>
      </c>
      <c r="P7" s="250">
        <v>30</v>
      </c>
      <c r="Q7" s="15">
        <v>31</v>
      </c>
      <c r="R7" s="250">
        <v>30</v>
      </c>
      <c r="S7" s="15"/>
      <c r="U7" s="13" t="s">
        <v>389</v>
      </c>
    </row>
    <row r="8" spans="1:31">
      <c r="B8" s="13" t="s">
        <v>6</v>
      </c>
      <c r="F8" s="251"/>
      <c r="H8" s="251"/>
      <c r="J8" s="251"/>
      <c r="L8" s="251"/>
      <c r="N8" s="251"/>
      <c r="P8" s="251"/>
      <c r="R8" s="251"/>
    </row>
    <row r="9" spans="1:31" hidden="1">
      <c r="B9" s="14"/>
      <c r="C9" s="33" t="s">
        <v>78</v>
      </c>
      <c r="D9" s="14"/>
      <c r="E9" s="34">
        <v>378</v>
      </c>
      <c r="F9" s="252"/>
      <c r="G9" s="35"/>
      <c r="H9" s="252"/>
      <c r="I9" s="47"/>
      <c r="J9" s="252"/>
      <c r="K9" s="35"/>
      <c r="L9" s="252"/>
      <c r="M9" s="36"/>
      <c r="N9" s="252"/>
      <c r="O9" s="34"/>
      <c r="P9" s="252"/>
      <c r="Q9" s="34"/>
      <c r="R9" s="252"/>
      <c r="S9" s="34"/>
      <c r="T9" s="16" t="s">
        <v>79</v>
      </c>
    </row>
    <row r="10" spans="1:31" hidden="1">
      <c r="C10" s="33" t="s">
        <v>20</v>
      </c>
      <c r="D10" s="16"/>
      <c r="E10" s="34">
        <v>0</v>
      </c>
      <c r="F10" s="252"/>
      <c r="G10" s="35"/>
      <c r="H10" s="252"/>
      <c r="I10" s="47"/>
      <c r="J10" s="252"/>
      <c r="K10" s="35"/>
      <c r="L10" s="252"/>
      <c r="M10" s="36"/>
      <c r="N10" s="252"/>
      <c r="O10" s="34"/>
      <c r="P10" s="252"/>
      <c r="Q10" s="34"/>
      <c r="R10" s="252"/>
      <c r="S10" s="34"/>
      <c r="T10" s="16" t="s">
        <v>79</v>
      </c>
    </row>
    <row r="11" spans="1:31" hidden="1">
      <c r="C11" s="33" t="s">
        <v>80</v>
      </c>
      <c r="D11" s="16"/>
      <c r="E11" s="34">
        <v>1332.29</v>
      </c>
      <c r="F11" s="252"/>
      <c r="G11" s="35"/>
      <c r="H11" s="252"/>
      <c r="I11" s="47"/>
      <c r="J11" s="252"/>
      <c r="K11" s="35"/>
      <c r="L11" s="252"/>
      <c r="M11" s="36"/>
      <c r="N11" s="252"/>
      <c r="O11" s="34"/>
      <c r="P11" s="252"/>
      <c r="Q11" s="34"/>
      <c r="R11" s="252"/>
      <c r="S11" s="34"/>
      <c r="T11" s="16" t="s">
        <v>79</v>
      </c>
    </row>
    <row r="12" spans="1:31" hidden="1">
      <c r="C12" s="33" t="s">
        <v>81</v>
      </c>
      <c r="D12" s="16"/>
      <c r="E12" s="34">
        <v>0</v>
      </c>
      <c r="F12" s="252"/>
      <c r="G12" s="35"/>
      <c r="H12" s="252"/>
      <c r="I12" s="47"/>
      <c r="J12" s="252"/>
      <c r="K12" s="35"/>
      <c r="L12" s="252"/>
      <c r="M12" s="36"/>
      <c r="N12" s="252"/>
      <c r="O12" s="34"/>
      <c r="P12" s="252"/>
      <c r="Q12" s="34"/>
      <c r="R12" s="252"/>
      <c r="S12" s="34"/>
      <c r="T12" s="16" t="s">
        <v>79</v>
      </c>
      <c r="U12" s="23"/>
      <c r="V12" s="23"/>
      <c r="W12" s="23"/>
      <c r="X12" s="23"/>
      <c r="Y12" s="23"/>
      <c r="Z12" s="23"/>
      <c r="AA12" s="23"/>
    </row>
    <row r="13" spans="1:31" hidden="1">
      <c r="C13" s="33" t="s">
        <v>82</v>
      </c>
      <c r="D13" s="16"/>
      <c r="E13" s="34">
        <v>262</v>
      </c>
      <c r="F13" s="252"/>
      <c r="G13" s="35"/>
      <c r="H13" s="252"/>
      <c r="I13" s="47"/>
      <c r="J13" s="252"/>
      <c r="K13" s="35"/>
      <c r="L13" s="252"/>
      <c r="M13" s="36"/>
      <c r="N13" s="252"/>
      <c r="O13" s="34"/>
      <c r="P13" s="252"/>
      <c r="Q13" s="34"/>
      <c r="R13" s="252"/>
      <c r="S13" s="34"/>
      <c r="T13" s="16" t="s">
        <v>79</v>
      </c>
    </row>
    <row r="14" spans="1:31" hidden="1">
      <c r="C14" s="33" t="s">
        <v>24</v>
      </c>
      <c r="D14" s="16"/>
      <c r="E14" s="34">
        <v>0</v>
      </c>
      <c r="F14" s="252"/>
      <c r="G14" s="35"/>
      <c r="H14" s="252"/>
      <c r="I14" s="47"/>
      <c r="J14" s="252"/>
      <c r="K14" s="35"/>
      <c r="L14" s="252"/>
      <c r="M14" s="36"/>
      <c r="N14" s="252"/>
      <c r="O14" s="34"/>
      <c r="P14" s="252"/>
      <c r="Q14" s="34"/>
      <c r="R14" s="252"/>
      <c r="S14" s="34"/>
      <c r="T14" s="16" t="s">
        <v>79</v>
      </c>
    </row>
    <row r="15" spans="1:31" hidden="1">
      <c r="C15" s="33" t="s">
        <v>83</v>
      </c>
      <c r="D15" s="16"/>
      <c r="E15" s="34">
        <v>1455.8410000000001</v>
      </c>
      <c r="F15" s="252"/>
      <c r="G15" s="35"/>
      <c r="H15" s="252"/>
      <c r="I15" s="47"/>
      <c r="J15" s="252"/>
      <c r="K15" s="35"/>
      <c r="L15" s="252"/>
      <c r="M15" s="36"/>
      <c r="N15" s="252"/>
      <c r="O15" s="34"/>
      <c r="P15" s="252"/>
      <c r="Q15" s="34"/>
      <c r="R15" s="252"/>
      <c r="S15" s="34"/>
      <c r="T15" s="16" t="s">
        <v>79</v>
      </c>
    </row>
    <row r="16" spans="1:31" hidden="1">
      <c r="C16" s="33" t="s">
        <v>84</v>
      </c>
      <c r="D16" s="16"/>
      <c r="E16" s="34">
        <v>75</v>
      </c>
      <c r="F16" s="252"/>
      <c r="G16" s="35"/>
      <c r="H16" s="252"/>
      <c r="I16" s="47"/>
      <c r="J16" s="252"/>
      <c r="K16" s="35"/>
      <c r="L16" s="252"/>
      <c r="M16" s="36"/>
      <c r="N16" s="252"/>
      <c r="O16" s="34"/>
      <c r="P16" s="252"/>
      <c r="Q16" s="34"/>
      <c r="R16" s="252"/>
      <c r="S16" s="34"/>
      <c r="T16" s="16"/>
    </row>
    <row r="17" spans="2:21" hidden="1">
      <c r="C17" s="33" t="s">
        <v>85</v>
      </c>
      <c r="D17" s="16"/>
      <c r="E17" s="34">
        <v>847</v>
      </c>
      <c r="F17" s="252"/>
      <c r="G17" s="35"/>
      <c r="H17" s="252"/>
      <c r="I17" s="47"/>
      <c r="J17" s="252"/>
      <c r="K17" s="35"/>
      <c r="L17" s="252"/>
      <c r="M17" s="36"/>
      <c r="N17" s="252"/>
      <c r="O17" s="34"/>
      <c r="P17" s="252"/>
      <c r="Q17" s="34"/>
      <c r="R17" s="252"/>
      <c r="S17" s="34"/>
      <c r="T17" s="16" t="s">
        <v>79</v>
      </c>
    </row>
    <row r="18" spans="2:21" hidden="1">
      <c r="B18" s="14" t="s">
        <v>86</v>
      </c>
      <c r="C18" s="14"/>
      <c r="D18" s="14"/>
      <c r="E18" s="37">
        <f>SUM(E9:E17)</f>
        <v>4350.1310000000003</v>
      </c>
      <c r="F18" s="253">
        <f>SUM(F9:F17)</f>
        <v>0</v>
      </c>
      <c r="G18" s="37">
        <f>SUM(G9:G17)</f>
        <v>0</v>
      </c>
      <c r="H18" s="253">
        <f>F18-G18</f>
        <v>0</v>
      </c>
      <c r="I18" s="38">
        <f>G18-H18</f>
        <v>0</v>
      </c>
      <c r="J18" s="253">
        <f>SUM(J9:J17)</f>
        <v>0</v>
      </c>
      <c r="K18" s="37">
        <f>SUM(K9:K17)</f>
        <v>0</v>
      </c>
      <c r="L18" s="253">
        <f>J18-K18</f>
        <v>0</v>
      </c>
      <c r="M18" s="37">
        <f t="shared" ref="M18:R18" si="0">SUM(M9:M17)</f>
        <v>0</v>
      </c>
      <c r="N18" s="253">
        <f t="shared" si="0"/>
        <v>0</v>
      </c>
      <c r="O18" s="37">
        <f t="shared" si="0"/>
        <v>0</v>
      </c>
      <c r="P18" s="253">
        <f t="shared" si="0"/>
        <v>0</v>
      </c>
      <c r="Q18" s="37">
        <f t="shared" si="0"/>
        <v>0</v>
      </c>
      <c r="R18" s="253">
        <f t="shared" si="0"/>
        <v>0</v>
      </c>
      <c r="S18" s="37">
        <f>SUM(S9:S17)</f>
        <v>0</v>
      </c>
      <c r="T18" s="37">
        <f>SUM(T9:T17)</f>
        <v>0</v>
      </c>
    </row>
    <row r="19" spans="2:21">
      <c r="B19" s="14"/>
      <c r="C19" s="14"/>
      <c r="D19" s="14"/>
      <c r="E19" s="37"/>
      <c r="F19" s="253"/>
      <c r="G19" s="37"/>
      <c r="H19" s="253"/>
      <c r="I19" s="48"/>
      <c r="J19" s="253"/>
      <c r="K19" s="37"/>
      <c r="L19" s="253"/>
      <c r="M19" s="37"/>
      <c r="N19" s="253"/>
      <c r="O19" s="37"/>
      <c r="P19" s="253"/>
      <c r="Q19" s="37"/>
      <c r="R19" s="253"/>
      <c r="S19" s="37"/>
    </row>
    <row r="20" spans="2:21">
      <c r="B20" s="13" t="s">
        <v>8</v>
      </c>
      <c r="F20" s="251"/>
      <c r="H20" s="251"/>
      <c r="I20" s="49"/>
      <c r="J20" s="251"/>
      <c r="L20" s="251"/>
      <c r="M20" s="21"/>
      <c r="N20" s="251"/>
      <c r="P20" s="251"/>
      <c r="R20" s="251"/>
    </row>
    <row r="21" spans="2:21">
      <c r="C21" s="33" t="s">
        <v>87</v>
      </c>
      <c r="D21" s="16"/>
      <c r="E21" s="34">
        <v>10295.962</v>
      </c>
      <c r="F21" s="251">
        <f>-'assumptions updated'!H7</f>
        <v>-616100</v>
      </c>
      <c r="G21" s="213">
        <f>$F21/365*31</f>
        <v>-52326.301369863009</v>
      </c>
      <c r="H21" s="251">
        <f t="shared" ref="H21:Q21" si="1">$F21/365*31</f>
        <v>-52326.301369863009</v>
      </c>
      <c r="I21" s="213">
        <f>$F21/365*30</f>
        <v>-50638.356164383556</v>
      </c>
      <c r="J21" s="251">
        <f t="shared" si="1"/>
        <v>-52326.301369863009</v>
      </c>
      <c r="K21" s="213">
        <f>$F21/365*30</f>
        <v>-50638.356164383556</v>
      </c>
      <c r="L21" s="251">
        <f t="shared" si="1"/>
        <v>-52326.301369863009</v>
      </c>
      <c r="M21" s="213">
        <f t="shared" si="1"/>
        <v>-52326.301369863009</v>
      </c>
      <c r="N21" s="251">
        <f>$F21/365*28</f>
        <v>-47262.465753424651</v>
      </c>
      <c r="O21" s="214">
        <f t="shared" si="1"/>
        <v>-52326.301369863009</v>
      </c>
      <c r="P21" s="251">
        <f>$F21/365*30</f>
        <v>-50638.356164383556</v>
      </c>
      <c r="Q21" s="214">
        <f t="shared" si="1"/>
        <v>-52326.301369863009</v>
      </c>
      <c r="R21" s="251">
        <f>$F21/365*30</f>
        <v>-50638.356164383556</v>
      </c>
      <c r="S21" s="34"/>
      <c r="T21" s="16" t="s">
        <v>79</v>
      </c>
    </row>
    <row r="22" spans="2:21">
      <c r="C22" s="33" t="s">
        <v>88</v>
      </c>
      <c r="D22" s="16"/>
      <c r="E22" s="34">
        <v>6487.0983999999999</v>
      </c>
      <c r="F22" s="251">
        <f>SUM(F24:F30)</f>
        <v>-1245810</v>
      </c>
      <c r="G22" s="213">
        <f t="shared" ref="G22:R22" si="2">SUM(G24:G30)</f>
        <v>-78034.166666666672</v>
      </c>
      <c r="H22" s="251">
        <f t="shared" si="2"/>
        <v>-94284.166666666672</v>
      </c>
      <c r="I22" s="215">
        <f t="shared" si="2"/>
        <v>-135134.16666666666</v>
      </c>
      <c r="J22" s="251">
        <f t="shared" si="2"/>
        <v>-78034.166666666672</v>
      </c>
      <c r="K22" s="213">
        <f t="shared" si="2"/>
        <v>-94284.166666666672</v>
      </c>
      <c r="L22" s="251">
        <f t="shared" si="2"/>
        <v>-123134.16666666666</v>
      </c>
      <c r="M22" s="213">
        <f t="shared" si="2"/>
        <v>-118034.16666666666</v>
      </c>
      <c r="N22" s="251">
        <f t="shared" si="2"/>
        <v>-94284.166666666672</v>
      </c>
      <c r="O22" s="214">
        <f t="shared" si="2"/>
        <v>-135134.16666666666</v>
      </c>
      <c r="P22" s="251">
        <f t="shared" si="2"/>
        <v>-78034.166666666672</v>
      </c>
      <c r="Q22" s="214">
        <f t="shared" si="2"/>
        <v>-94284.166666666672</v>
      </c>
      <c r="R22" s="251">
        <f t="shared" si="2"/>
        <v>-123134.16666666666</v>
      </c>
      <c r="S22" s="34"/>
      <c r="T22" s="16" t="s">
        <v>79</v>
      </c>
    </row>
    <row r="23" spans="2:21">
      <c r="C23" s="63" t="s">
        <v>162</v>
      </c>
      <c r="D23" s="16"/>
      <c r="E23" s="34"/>
      <c r="F23" s="251"/>
      <c r="G23" s="213"/>
      <c r="H23" s="251"/>
      <c r="I23" s="215"/>
      <c r="J23" s="251"/>
      <c r="K23" s="213"/>
      <c r="L23" s="251"/>
      <c r="M23" s="213"/>
      <c r="N23" s="251"/>
      <c r="O23" s="214"/>
      <c r="P23" s="251"/>
      <c r="Q23" s="214"/>
      <c r="R23" s="251"/>
      <c r="S23" s="34"/>
      <c r="T23" s="16"/>
    </row>
    <row r="24" spans="2:21">
      <c r="C24" s="33"/>
      <c r="D24" s="57" t="s">
        <v>157</v>
      </c>
      <c r="E24" s="58"/>
      <c r="F24" s="270">
        <f>-('assumptions updated'!H37+'assumptions updated'!H38+'assumptions updated'!H39+'assumptions updated'!H40)</f>
        <v>-132000</v>
      </c>
      <c r="G24" s="216"/>
      <c r="H24" s="270"/>
      <c r="I24" s="217">
        <f>$F24/4</f>
        <v>-33000</v>
      </c>
      <c r="J24" s="270"/>
      <c r="K24" s="216"/>
      <c r="L24" s="270">
        <f>$F24/4</f>
        <v>-33000</v>
      </c>
      <c r="M24" s="216"/>
      <c r="N24" s="270"/>
      <c r="O24" s="218">
        <f>$F24/4</f>
        <v>-33000</v>
      </c>
      <c r="P24" s="270"/>
      <c r="Q24" s="218"/>
      <c r="R24" s="270">
        <f>$F24/4</f>
        <v>-33000</v>
      </c>
      <c r="S24" s="34"/>
      <c r="T24" s="16"/>
    </row>
    <row r="25" spans="2:21">
      <c r="C25" s="33"/>
      <c r="D25" s="57" t="s">
        <v>165</v>
      </c>
      <c r="E25" s="58"/>
      <c r="F25" s="270">
        <f>SUM(G25:R25)</f>
        <v>-64000</v>
      </c>
      <c r="G25" s="216"/>
      <c r="H25" s="270"/>
      <c r="I25" s="217">
        <f>-'assumptions updated'!H32/2</f>
        <v>-12000</v>
      </c>
      <c r="J25" s="270"/>
      <c r="K25" s="216"/>
      <c r="L25" s="270"/>
      <c r="M25" s="216">
        <f>-'assumptions updated'!H30-'assumptions updated'!H31</f>
        <v>-40000</v>
      </c>
      <c r="N25" s="270"/>
      <c r="O25" s="218">
        <f>-'assumptions updated'!H32/2</f>
        <v>-12000</v>
      </c>
      <c r="P25" s="270"/>
      <c r="Q25" s="218"/>
      <c r="R25" s="270"/>
      <c r="S25" s="34"/>
      <c r="T25" s="16"/>
    </row>
    <row r="26" spans="2:21">
      <c r="C26" s="33"/>
      <c r="D26" s="57" t="s">
        <v>158</v>
      </c>
      <c r="E26" s="58"/>
      <c r="F26" s="270">
        <f>-('assumptions updated'!H26+'assumptions updated'!H27+'assumptions updated'!H33+'assumptions updated'!H28+'assumptions updated'!H43+'assumptions updated'!H44)</f>
        <v>-629200</v>
      </c>
      <c r="G26" s="216">
        <f>$F$26/52*4</f>
        <v>-48400</v>
      </c>
      <c r="H26" s="270">
        <f>$F26/52*4</f>
        <v>-48400</v>
      </c>
      <c r="I26" s="216">
        <f>$F$26/52*5</f>
        <v>-60500</v>
      </c>
      <c r="J26" s="270">
        <f>$F26/52*4</f>
        <v>-48400</v>
      </c>
      <c r="K26" s="216">
        <f>$F26/52*4</f>
        <v>-48400</v>
      </c>
      <c r="L26" s="270">
        <f>$F$26/52*5</f>
        <v>-60500</v>
      </c>
      <c r="M26" s="216">
        <f>$F26/52*4</f>
        <v>-48400</v>
      </c>
      <c r="N26" s="270">
        <f>$F26/52*4</f>
        <v>-48400</v>
      </c>
      <c r="O26" s="216">
        <f>$F$26/52*5</f>
        <v>-60500</v>
      </c>
      <c r="P26" s="270">
        <f>$F26/52*4</f>
        <v>-48400</v>
      </c>
      <c r="Q26" s="218">
        <f>$F26/52*4</f>
        <v>-48400</v>
      </c>
      <c r="R26" s="270">
        <f>$F$26/52*5</f>
        <v>-60500</v>
      </c>
      <c r="S26" s="34"/>
      <c r="T26" s="16"/>
      <c r="U26" s="13" t="s">
        <v>164</v>
      </c>
    </row>
    <row r="27" spans="2:21">
      <c r="C27" s="33"/>
      <c r="D27" s="57" t="s">
        <v>159</v>
      </c>
      <c r="E27" s="58"/>
      <c r="F27" s="270">
        <f>-('assumptions updated'!H35+'assumptions updated'!H36+'assumptions updated'!H41+'assumptions updated'!H34)</f>
        <v>-124000</v>
      </c>
      <c r="G27" s="216">
        <f>$F$27/12</f>
        <v>-10333.333333333334</v>
      </c>
      <c r="H27" s="270">
        <f t="shared" ref="H27:R27" si="3">$F$27/12</f>
        <v>-10333.333333333334</v>
      </c>
      <c r="I27" s="217">
        <f t="shared" si="3"/>
        <v>-10333.333333333334</v>
      </c>
      <c r="J27" s="270">
        <f t="shared" si="3"/>
        <v>-10333.333333333334</v>
      </c>
      <c r="K27" s="216">
        <f t="shared" si="3"/>
        <v>-10333.333333333334</v>
      </c>
      <c r="L27" s="270">
        <f t="shared" si="3"/>
        <v>-10333.333333333334</v>
      </c>
      <c r="M27" s="216">
        <f t="shared" si="3"/>
        <v>-10333.333333333334</v>
      </c>
      <c r="N27" s="270">
        <f t="shared" si="3"/>
        <v>-10333.333333333334</v>
      </c>
      <c r="O27" s="217">
        <f t="shared" si="3"/>
        <v>-10333.333333333334</v>
      </c>
      <c r="P27" s="270">
        <f t="shared" si="3"/>
        <v>-10333.333333333334</v>
      </c>
      <c r="Q27" s="218">
        <f t="shared" si="3"/>
        <v>-10333.333333333334</v>
      </c>
      <c r="R27" s="270">
        <f t="shared" si="3"/>
        <v>-10333.333333333334</v>
      </c>
      <c r="S27" s="34"/>
      <c r="T27" s="16"/>
    </row>
    <row r="28" spans="2:21">
      <c r="C28" s="63" t="s">
        <v>163</v>
      </c>
      <c r="D28" s="16"/>
      <c r="E28" s="34">
        <v>0</v>
      </c>
      <c r="F28" s="251"/>
      <c r="G28" s="213"/>
      <c r="H28" s="251"/>
      <c r="I28" s="215"/>
      <c r="J28" s="251"/>
      <c r="K28" s="213"/>
      <c r="L28" s="251"/>
      <c r="M28" s="213"/>
      <c r="N28" s="251"/>
      <c r="O28" s="214"/>
      <c r="P28" s="251"/>
      <c r="Q28" s="214"/>
      <c r="R28" s="251"/>
      <c r="S28" s="34"/>
      <c r="T28" s="16" t="s">
        <v>79</v>
      </c>
    </row>
    <row r="29" spans="2:21">
      <c r="C29" s="33"/>
      <c r="D29" s="16" t="s">
        <v>157</v>
      </c>
      <c r="E29" s="34"/>
      <c r="F29" s="251">
        <f>-'assumptions updated'!H17-'assumptions updated'!H22</f>
        <v>-65000</v>
      </c>
      <c r="G29" s="213"/>
      <c r="H29" s="251">
        <f>$F$29/4</f>
        <v>-16250</v>
      </c>
      <c r="I29" s="215"/>
      <c r="J29" s="251"/>
      <c r="K29" s="213">
        <f>$F$29/4</f>
        <v>-16250</v>
      </c>
      <c r="L29" s="251"/>
      <c r="M29" s="213"/>
      <c r="N29" s="251">
        <f>$F$29/4</f>
        <v>-16250</v>
      </c>
      <c r="O29" s="214"/>
      <c r="P29" s="251"/>
      <c r="Q29" s="214">
        <f>$F$29/4</f>
        <v>-16250</v>
      </c>
      <c r="R29" s="251"/>
      <c r="S29" s="34"/>
      <c r="T29" s="16"/>
    </row>
    <row r="30" spans="2:21">
      <c r="C30" s="33"/>
      <c r="D30" s="16" t="s">
        <v>159</v>
      </c>
      <c r="E30" s="34"/>
      <c r="F30" s="251">
        <f>-'assumptions updated'!H23-'assumptions updated'!H18-'assumptions updated'!H19-'assumptions updated'!H20-'assumptions updated'!H21</f>
        <v>-231610</v>
      </c>
      <c r="G30" s="216">
        <f>$F$30/12</f>
        <v>-19300.833333333332</v>
      </c>
      <c r="H30" s="270">
        <f t="shared" ref="H30:R30" si="4">$F$30/12</f>
        <v>-19300.833333333332</v>
      </c>
      <c r="I30" s="217">
        <f t="shared" si="4"/>
        <v>-19300.833333333332</v>
      </c>
      <c r="J30" s="270">
        <f t="shared" si="4"/>
        <v>-19300.833333333332</v>
      </c>
      <c r="K30" s="216">
        <f t="shared" si="4"/>
        <v>-19300.833333333332</v>
      </c>
      <c r="L30" s="270">
        <f t="shared" si="4"/>
        <v>-19300.833333333332</v>
      </c>
      <c r="M30" s="216">
        <f t="shared" si="4"/>
        <v>-19300.833333333332</v>
      </c>
      <c r="N30" s="270">
        <f t="shared" si="4"/>
        <v>-19300.833333333332</v>
      </c>
      <c r="O30" s="217">
        <f t="shared" si="4"/>
        <v>-19300.833333333332</v>
      </c>
      <c r="P30" s="270">
        <f t="shared" si="4"/>
        <v>-19300.833333333332</v>
      </c>
      <c r="Q30" s="218">
        <f t="shared" si="4"/>
        <v>-19300.833333333332</v>
      </c>
      <c r="R30" s="270">
        <f t="shared" si="4"/>
        <v>-19300.833333333332</v>
      </c>
      <c r="S30" s="34"/>
      <c r="T30" s="16"/>
    </row>
    <row r="31" spans="2:21">
      <c r="C31" s="33" t="s">
        <v>89</v>
      </c>
      <c r="D31" s="16"/>
      <c r="E31" s="34">
        <v>0</v>
      </c>
      <c r="F31" s="251"/>
      <c r="G31" s="213"/>
      <c r="H31" s="251"/>
      <c r="I31" s="215"/>
      <c r="J31" s="251"/>
      <c r="K31" s="213"/>
      <c r="L31" s="251"/>
      <c r="M31" s="213"/>
      <c r="N31" s="251"/>
      <c r="O31" s="214"/>
      <c r="P31" s="251"/>
      <c r="Q31" s="214"/>
      <c r="R31" s="251"/>
      <c r="S31" s="34"/>
      <c r="T31" s="16" t="s">
        <v>79</v>
      </c>
    </row>
    <row r="32" spans="2:21">
      <c r="C32" s="33" t="s">
        <v>9</v>
      </c>
      <c r="D32" s="16"/>
      <c r="E32" s="34"/>
      <c r="F32" s="251">
        <f>-F61</f>
        <v>-100000</v>
      </c>
      <c r="G32" s="216">
        <f>-G61</f>
        <v>-8333.3333333333339</v>
      </c>
      <c r="H32" s="270">
        <f t="shared" ref="H32:R32" si="5">-H61</f>
        <v>-8333.3333333333339</v>
      </c>
      <c r="I32" s="217">
        <f t="shared" si="5"/>
        <v>-8333.3333333333339</v>
      </c>
      <c r="J32" s="270">
        <f t="shared" si="5"/>
        <v>-8333.3333333333339</v>
      </c>
      <c r="K32" s="216">
        <f t="shared" si="5"/>
        <v>-8333.3333333333339</v>
      </c>
      <c r="L32" s="270">
        <f t="shared" si="5"/>
        <v>-8333.3333333333339</v>
      </c>
      <c r="M32" s="216">
        <f t="shared" si="5"/>
        <v>-8333.3333333333339</v>
      </c>
      <c r="N32" s="270">
        <f t="shared" si="5"/>
        <v>-8333.3333333333339</v>
      </c>
      <c r="O32" s="218">
        <f t="shared" si="5"/>
        <v>-8333.3333333333339</v>
      </c>
      <c r="P32" s="270">
        <f t="shared" si="5"/>
        <v>-8333.3333333333339</v>
      </c>
      <c r="Q32" s="218">
        <f t="shared" si="5"/>
        <v>-8333.3333333333339</v>
      </c>
      <c r="R32" s="270">
        <f t="shared" si="5"/>
        <v>-8333.3333333333339</v>
      </c>
      <c r="S32" s="34"/>
      <c r="T32" s="16"/>
    </row>
    <row r="33" spans="1:20">
      <c r="C33" s="33" t="s">
        <v>90</v>
      </c>
      <c r="D33" s="16"/>
      <c r="E33" s="34">
        <v>1056.085</v>
      </c>
      <c r="F33" s="251"/>
      <c r="G33" s="213"/>
      <c r="H33" s="251"/>
      <c r="I33" s="215"/>
      <c r="J33" s="251"/>
      <c r="K33" s="213"/>
      <c r="L33" s="251"/>
      <c r="M33" s="213"/>
      <c r="N33" s="251"/>
      <c r="O33" s="214"/>
      <c r="P33" s="251"/>
      <c r="Q33" s="214"/>
      <c r="R33" s="251"/>
      <c r="S33" s="34"/>
      <c r="T33" s="16" t="s">
        <v>79</v>
      </c>
    </row>
    <row r="34" spans="1:20">
      <c r="C34" s="33" t="s">
        <v>19</v>
      </c>
      <c r="D34" s="16"/>
      <c r="E34" s="34">
        <v>0</v>
      </c>
      <c r="F34" s="251"/>
      <c r="G34" s="213"/>
      <c r="H34" s="251"/>
      <c r="I34" s="215"/>
      <c r="J34" s="251"/>
      <c r="K34" s="213"/>
      <c r="L34" s="251"/>
      <c r="M34" s="213"/>
      <c r="N34" s="251"/>
      <c r="O34" s="214"/>
      <c r="P34" s="251"/>
      <c r="Q34" s="214"/>
      <c r="R34" s="251"/>
      <c r="S34" s="34"/>
      <c r="T34" s="16" t="s">
        <v>79</v>
      </c>
    </row>
    <row r="35" spans="1:20">
      <c r="C35" s="33" t="s">
        <v>160</v>
      </c>
      <c r="D35" s="16"/>
      <c r="E35" s="34">
        <v>4099.3780000000006</v>
      </c>
      <c r="F35" s="251">
        <f>-'assumptions updated'!H52</f>
        <v>-36000</v>
      </c>
      <c r="G35" s="213">
        <f>$F35/12</f>
        <v>-3000</v>
      </c>
      <c r="H35" s="251">
        <f t="shared" ref="H35:R35" si="6">$F35/12</f>
        <v>-3000</v>
      </c>
      <c r="I35" s="213">
        <f t="shared" si="6"/>
        <v>-3000</v>
      </c>
      <c r="J35" s="251">
        <f t="shared" si="6"/>
        <v>-3000</v>
      </c>
      <c r="K35" s="213">
        <f t="shared" si="6"/>
        <v>-3000</v>
      </c>
      <c r="L35" s="251">
        <f t="shared" si="6"/>
        <v>-3000</v>
      </c>
      <c r="M35" s="213">
        <f t="shared" si="6"/>
        <v>-3000</v>
      </c>
      <c r="N35" s="251">
        <f t="shared" si="6"/>
        <v>-3000</v>
      </c>
      <c r="O35" s="214">
        <f t="shared" si="6"/>
        <v>-3000</v>
      </c>
      <c r="P35" s="251">
        <f t="shared" si="6"/>
        <v>-3000</v>
      </c>
      <c r="Q35" s="214">
        <f t="shared" si="6"/>
        <v>-3000</v>
      </c>
      <c r="R35" s="251">
        <f t="shared" si="6"/>
        <v>-3000</v>
      </c>
      <c r="S35" s="34"/>
      <c r="T35" s="16" t="s">
        <v>79</v>
      </c>
    </row>
    <row r="36" spans="1:20">
      <c r="C36" s="33" t="s">
        <v>91</v>
      </c>
      <c r="D36" s="16"/>
      <c r="E36" s="34">
        <v>205.6</v>
      </c>
      <c r="F36" s="251"/>
      <c r="G36" s="213"/>
      <c r="H36" s="251"/>
      <c r="I36" s="215"/>
      <c r="J36" s="251"/>
      <c r="K36" s="213"/>
      <c r="L36" s="251"/>
      <c r="M36" s="213"/>
      <c r="N36" s="251"/>
      <c r="O36" s="214"/>
      <c r="P36" s="251"/>
      <c r="Q36" s="214"/>
      <c r="R36" s="251"/>
      <c r="S36" s="34"/>
      <c r="T36" s="16" t="s">
        <v>79</v>
      </c>
    </row>
    <row r="37" spans="1:20">
      <c r="B37" s="14" t="s">
        <v>92</v>
      </c>
      <c r="C37" s="14"/>
      <c r="D37" s="14"/>
      <c r="E37" s="37">
        <f>SUM(E21:E36)</f>
        <v>22144.123399999997</v>
      </c>
      <c r="F37" s="253">
        <f>F21+F22+F35+F32</f>
        <v>-1997910</v>
      </c>
      <c r="G37" s="37">
        <f t="shared" ref="G37:R37" si="7">G21+G22+G35+G32</f>
        <v>-141693.80136986301</v>
      </c>
      <c r="H37" s="253">
        <f t="shared" si="7"/>
        <v>-157943.80136986301</v>
      </c>
      <c r="I37" s="38">
        <f t="shared" si="7"/>
        <v>-197105.85616438356</v>
      </c>
      <c r="J37" s="253">
        <f t="shared" si="7"/>
        <v>-141693.80136986301</v>
      </c>
      <c r="K37" s="37">
        <f t="shared" si="7"/>
        <v>-156255.85616438356</v>
      </c>
      <c r="L37" s="253">
        <f t="shared" si="7"/>
        <v>-186793.80136986301</v>
      </c>
      <c r="M37" s="37">
        <f t="shared" si="7"/>
        <v>-181693.80136986301</v>
      </c>
      <c r="N37" s="253">
        <f t="shared" si="7"/>
        <v>-152879.96575342465</v>
      </c>
      <c r="O37" s="37">
        <f t="shared" si="7"/>
        <v>-198793.80136986301</v>
      </c>
      <c r="P37" s="253">
        <f t="shared" si="7"/>
        <v>-140005.85616438356</v>
      </c>
      <c r="Q37" s="37">
        <f t="shared" si="7"/>
        <v>-157943.80136986301</v>
      </c>
      <c r="R37" s="253">
        <f t="shared" si="7"/>
        <v>-185105.85616438356</v>
      </c>
      <c r="S37" s="37">
        <f>SUM(S21:S36)</f>
        <v>0</v>
      </c>
      <c r="T37" s="37">
        <f>SUM(T21:T36)</f>
        <v>0</v>
      </c>
    </row>
    <row r="38" spans="1:20" ht="15" hidden="1" customHeight="1">
      <c r="A38" s="32" t="s">
        <v>36</v>
      </c>
      <c r="F38" s="251"/>
      <c r="G38" s="214"/>
      <c r="H38" s="251"/>
      <c r="I38" s="213"/>
      <c r="J38" s="251"/>
      <c r="K38" s="214"/>
      <c r="L38" s="251"/>
      <c r="M38" s="214"/>
      <c r="N38" s="251"/>
      <c r="O38" s="214"/>
      <c r="P38" s="251"/>
      <c r="Q38" s="214"/>
      <c r="R38" s="251"/>
      <c r="T38" s="21"/>
    </row>
    <row r="39" spans="1:20" ht="12.75" hidden="1" customHeight="1">
      <c r="B39" s="14" t="s">
        <v>6</v>
      </c>
      <c r="C39" s="14"/>
      <c r="E39" s="37">
        <f>SUM(E40:E48)</f>
        <v>1940</v>
      </c>
      <c r="F39" s="253">
        <f>SUM(F40:F48)</f>
        <v>0</v>
      </c>
      <c r="G39" s="37">
        <f>SUM(G40:G48)</f>
        <v>0</v>
      </c>
      <c r="H39" s="253">
        <f t="shared" ref="H39:R39" si="8">SUM(H40:H48)</f>
        <v>0</v>
      </c>
      <c r="I39" s="38">
        <f t="shared" si="8"/>
        <v>0</v>
      </c>
      <c r="J39" s="253">
        <f t="shared" si="8"/>
        <v>0</v>
      </c>
      <c r="K39" s="37">
        <f t="shared" si="8"/>
        <v>0</v>
      </c>
      <c r="L39" s="253">
        <f t="shared" si="8"/>
        <v>0</v>
      </c>
      <c r="M39" s="37">
        <f t="shared" si="8"/>
        <v>0</v>
      </c>
      <c r="N39" s="253">
        <f t="shared" si="8"/>
        <v>0</v>
      </c>
      <c r="O39" s="37">
        <f t="shared" si="8"/>
        <v>0</v>
      </c>
      <c r="P39" s="253">
        <f t="shared" si="8"/>
        <v>0</v>
      </c>
      <c r="Q39" s="37">
        <f t="shared" si="8"/>
        <v>0</v>
      </c>
      <c r="R39" s="253">
        <f t="shared" si="8"/>
        <v>0</v>
      </c>
      <c r="S39" s="37">
        <f>SUM(S40:S48)</f>
        <v>0</v>
      </c>
      <c r="T39" s="37">
        <f>SUM(T40:T48)</f>
        <v>0</v>
      </c>
    </row>
    <row r="40" spans="1:20" ht="12.75" hidden="1" customHeight="1">
      <c r="B40" s="14"/>
      <c r="C40" s="23" t="s">
        <v>19</v>
      </c>
      <c r="E40" s="34">
        <v>0</v>
      </c>
      <c r="F40" s="251">
        <v>0</v>
      </c>
      <c r="G40" s="214">
        <v>0</v>
      </c>
      <c r="H40" s="251">
        <v>0</v>
      </c>
      <c r="I40" s="213">
        <v>0</v>
      </c>
      <c r="J40" s="251">
        <v>0</v>
      </c>
      <c r="K40" s="214">
        <v>0</v>
      </c>
      <c r="L40" s="251">
        <v>0</v>
      </c>
      <c r="M40" s="214">
        <v>0</v>
      </c>
      <c r="N40" s="251">
        <v>0</v>
      </c>
      <c r="O40" s="214">
        <v>0</v>
      </c>
      <c r="P40" s="251">
        <v>0</v>
      </c>
      <c r="Q40" s="214">
        <v>0</v>
      </c>
      <c r="R40" s="251">
        <v>0</v>
      </c>
      <c r="S40" s="34">
        <v>0</v>
      </c>
      <c r="T40" s="34">
        <v>0</v>
      </c>
    </row>
    <row r="41" spans="1:20" ht="12.75" hidden="1" customHeight="1">
      <c r="C41" s="16" t="s">
        <v>20</v>
      </c>
      <c r="E41" s="34">
        <v>1640</v>
      </c>
      <c r="F41" s="251">
        <v>0</v>
      </c>
      <c r="G41" s="214">
        <v>0</v>
      </c>
      <c r="H41" s="251">
        <v>0</v>
      </c>
      <c r="I41" s="213">
        <v>0</v>
      </c>
      <c r="J41" s="251">
        <v>0</v>
      </c>
      <c r="K41" s="214">
        <v>0</v>
      </c>
      <c r="L41" s="251">
        <v>0</v>
      </c>
      <c r="M41" s="214">
        <v>0</v>
      </c>
      <c r="N41" s="251">
        <v>0</v>
      </c>
      <c r="O41" s="214">
        <v>0</v>
      </c>
      <c r="P41" s="251">
        <v>0</v>
      </c>
      <c r="Q41" s="214">
        <v>0</v>
      </c>
      <c r="R41" s="251">
        <v>0</v>
      </c>
      <c r="S41" s="34">
        <v>0</v>
      </c>
      <c r="T41" s="34">
        <v>0</v>
      </c>
    </row>
    <row r="42" spans="1:20" ht="12.75" hidden="1" customHeight="1">
      <c r="C42" s="16" t="s">
        <v>21</v>
      </c>
      <c r="E42" s="34">
        <v>0</v>
      </c>
      <c r="F42" s="251">
        <v>0</v>
      </c>
      <c r="G42" s="214">
        <v>0</v>
      </c>
      <c r="H42" s="251">
        <v>0</v>
      </c>
      <c r="I42" s="213">
        <v>0</v>
      </c>
      <c r="J42" s="251">
        <v>0</v>
      </c>
      <c r="K42" s="214">
        <v>0</v>
      </c>
      <c r="L42" s="251">
        <v>0</v>
      </c>
      <c r="M42" s="214">
        <v>0</v>
      </c>
      <c r="N42" s="251">
        <v>0</v>
      </c>
      <c r="O42" s="214">
        <v>0</v>
      </c>
      <c r="P42" s="251">
        <v>0</v>
      </c>
      <c r="Q42" s="214">
        <v>0</v>
      </c>
      <c r="R42" s="251">
        <v>0</v>
      </c>
      <c r="S42" s="34">
        <v>0</v>
      </c>
      <c r="T42" s="34">
        <v>0</v>
      </c>
    </row>
    <row r="43" spans="1:20" ht="12.75" hidden="1" customHeight="1">
      <c r="C43" s="16" t="s">
        <v>22</v>
      </c>
      <c r="E43" s="34">
        <v>0</v>
      </c>
      <c r="F43" s="251">
        <v>0</v>
      </c>
      <c r="G43" s="214">
        <v>0</v>
      </c>
      <c r="H43" s="251">
        <v>0</v>
      </c>
      <c r="I43" s="213">
        <v>0</v>
      </c>
      <c r="J43" s="251">
        <v>0</v>
      </c>
      <c r="K43" s="214">
        <v>0</v>
      </c>
      <c r="L43" s="251">
        <v>0</v>
      </c>
      <c r="M43" s="214">
        <v>0</v>
      </c>
      <c r="N43" s="251">
        <v>0</v>
      </c>
      <c r="O43" s="214">
        <v>0</v>
      </c>
      <c r="P43" s="251">
        <v>0</v>
      </c>
      <c r="Q43" s="214">
        <v>0</v>
      </c>
      <c r="R43" s="251">
        <v>0</v>
      </c>
      <c r="S43" s="34">
        <v>0</v>
      </c>
      <c r="T43" s="34">
        <v>0</v>
      </c>
    </row>
    <row r="44" spans="1:20" ht="12.75" hidden="1" customHeight="1">
      <c r="C44" s="16" t="s">
        <v>23</v>
      </c>
      <c r="E44" s="34">
        <v>0</v>
      </c>
      <c r="F44" s="251">
        <v>0</v>
      </c>
      <c r="G44" s="214">
        <v>0</v>
      </c>
      <c r="H44" s="251">
        <v>0</v>
      </c>
      <c r="I44" s="213">
        <v>0</v>
      </c>
      <c r="J44" s="251">
        <v>0</v>
      </c>
      <c r="K44" s="214">
        <v>0</v>
      </c>
      <c r="L44" s="251">
        <v>0</v>
      </c>
      <c r="M44" s="214">
        <v>0</v>
      </c>
      <c r="N44" s="251">
        <v>0</v>
      </c>
      <c r="O44" s="214">
        <v>0</v>
      </c>
      <c r="P44" s="251">
        <v>0</v>
      </c>
      <c r="Q44" s="214">
        <v>0</v>
      </c>
      <c r="R44" s="251">
        <v>0</v>
      </c>
      <c r="S44" s="34">
        <v>0</v>
      </c>
      <c r="T44" s="34">
        <v>0</v>
      </c>
    </row>
    <row r="45" spans="1:20" ht="12.75" hidden="1" customHeight="1">
      <c r="C45" s="16" t="s">
        <v>24</v>
      </c>
      <c r="E45" s="34">
        <v>0</v>
      </c>
      <c r="F45" s="251">
        <v>0</v>
      </c>
      <c r="G45" s="214">
        <v>0</v>
      </c>
      <c r="H45" s="251">
        <v>0</v>
      </c>
      <c r="I45" s="213">
        <v>0</v>
      </c>
      <c r="J45" s="251">
        <v>0</v>
      </c>
      <c r="K45" s="214">
        <v>0</v>
      </c>
      <c r="L45" s="251">
        <v>0</v>
      </c>
      <c r="M45" s="214">
        <v>0</v>
      </c>
      <c r="N45" s="251">
        <v>0</v>
      </c>
      <c r="O45" s="214">
        <v>0</v>
      </c>
      <c r="P45" s="251">
        <v>0</v>
      </c>
      <c r="Q45" s="214">
        <v>0</v>
      </c>
      <c r="R45" s="251">
        <v>0</v>
      </c>
      <c r="S45" s="34">
        <v>0</v>
      </c>
      <c r="T45" s="34">
        <v>0</v>
      </c>
    </row>
    <row r="46" spans="1:20" ht="12.75" hidden="1" customHeight="1">
      <c r="C46" s="16" t="s">
        <v>29</v>
      </c>
      <c r="E46" s="34">
        <v>0</v>
      </c>
      <c r="F46" s="251">
        <v>0</v>
      </c>
      <c r="G46" s="214">
        <v>0</v>
      </c>
      <c r="H46" s="251">
        <v>0</v>
      </c>
      <c r="I46" s="213">
        <v>0</v>
      </c>
      <c r="J46" s="251">
        <v>0</v>
      </c>
      <c r="K46" s="214">
        <v>0</v>
      </c>
      <c r="L46" s="251">
        <v>0</v>
      </c>
      <c r="M46" s="214">
        <v>0</v>
      </c>
      <c r="N46" s="251">
        <v>0</v>
      </c>
      <c r="O46" s="214">
        <v>0</v>
      </c>
      <c r="P46" s="251">
        <v>0</v>
      </c>
      <c r="Q46" s="214">
        <v>0</v>
      </c>
      <c r="R46" s="251">
        <v>0</v>
      </c>
      <c r="S46" s="34">
        <v>0</v>
      </c>
      <c r="T46" s="34">
        <v>0</v>
      </c>
    </row>
    <row r="47" spans="1:20" ht="12.75" hidden="1" customHeight="1">
      <c r="C47" s="16" t="s">
        <v>7</v>
      </c>
      <c r="E47" s="34">
        <v>0</v>
      </c>
      <c r="F47" s="251">
        <v>0</v>
      </c>
      <c r="G47" s="214">
        <v>0</v>
      </c>
      <c r="H47" s="251">
        <v>0</v>
      </c>
      <c r="I47" s="213">
        <v>0</v>
      </c>
      <c r="J47" s="251">
        <v>0</v>
      </c>
      <c r="K47" s="214">
        <v>0</v>
      </c>
      <c r="L47" s="251">
        <v>0</v>
      </c>
      <c r="M47" s="214">
        <v>0</v>
      </c>
      <c r="N47" s="251">
        <v>0</v>
      </c>
      <c r="O47" s="214">
        <v>0</v>
      </c>
      <c r="P47" s="251">
        <v>0</v>
      </c>
      <c r="Q47" s="214">
        <v>0</v>
      </c>
      <c r="R47" s="251">
        <v>0</v>
      </c>
      <c r="S47" s="34">
        <v>0</v>
      </c>
      <c r="T47" s="34">
        <v>0</v>
      </c>
    </row>
    <row r="48" spans="1:20" ht="12.75" hidden="1" customHeight="1">
      <c r="C48" s="16" t="s">
        <v>34</v>
      </c>
      <c r="E48" s="34">
        <v>300</v>
      </c>
      <c r="F48" s="251">
        <v>0</v>
      </c>
      <c r="G48" s="214">
        <v>0</v>
      </c>
      <c r="H48" s="251">
        <v>0</v>
      </c>
      <c r="I48" s="213">
        <v>0</v>
      </c>
      <c r="J48" s="251">
        <v>0</v>
      </c>
      <c r="K48" s="214">
        <v>0</v>
      </c>
      <c r="L48" s="251">
        <v>0</v>
      </c>
      <c r="M48" s="214">
        <v>0</v>
      </c>
      <c r="N48" s="251">
        <v>0</v>
      </c>
      <c r="O48" s="214">
        <v>0</v>
      </c>
      <c r="P48" s="251">
        <v>0</v>
      </c>
      <c r="Q48" s="214">
        <v>0</v>
      </c>
      <c r="R48" s="251">
        <v>0</v>
      </c>
      <c r="S48" s="34">
        <v>0</v>
      </c>
      <c r="T48" s="34">
        <v>0</v>
      </c>
    </row>
    <row r="49" spans="2:20" ht="12.75" hidden="1" customHeight="1">
      <c r="B49" s="14" t="s">
        <v>8</v>
      </c>
      <c r="C49" s="14"/>
      <c r="E49" s="37">
        <f>SUM(E50:E57)</f>
        <v>1112</v>
      </c>
      <c r="F49" s="253">
        <f>SUM(F50:F57)</f>
        <v>0</v>
      </c>
      <c r="G49" s="37">
        <f>SUM(G50:G57)</f>
        <v>0</v>
      </c>
      <c r="H49" s="253">
        <f t="shared" ref="H49:R49" si="9">SUM(H50:H57)</f>
        <v>0</v>
      </c>
      <c r="I49" s="38">
        <f t="shared" si="9"/>
        <v>0</v>
      </c>
      <c r="J49" s="253">
        <f t="shared" si="9"/>
        <v>0</v>
      </c>
      <c r="K49" s="37">
        <f t="shared" si="9"/>
        <v>0</v>
      </c>
      <c r="L49" s="253">
        <f t="shared" si="9"/>
        <v>0</v>
      </c>
      <c r="M49" s="37">
        <f t="shared" si="9"/>
        <v>0</v>
      </c>
      <c r="N49" s="253">
        <f t="shared" si="9"/>
        <v>0</v>
      </c>
      <c r="O49" s="37">
        <f t="shared" si="9"/>
        <v>0</v>
      </c>
      <c r="P49" s="253">
        <f t="shared" si="9"/>
        <v>0</v>
      </c>
      <c r="Q49" s="37">
        <f t="shared" si="9"/>
        <v>0</v>
      </c>
      <c r="R49" s="253">
        <f t="shared" si="9"/>
        <v>0</v>
      </c>
      <c r="S49" s="37">
        <f>SUM(S50:S57)</f>
        <v>0</v>
      </c>
      <c r="T49" s="37">
        <f>SUM(T50:T57)</f>
        <v>0</v>
      </c>
    </row>
    <row r="50" spans="2:20" ht="12.75" hidden="1" customHeight="1">
      <c r="C50" s="16" t="s">
        <v>25</v>
      </c>
      <c r="E50" s="34">
        <v>479</v>
      </c>
      <c r="F50" s="251"/>
      <c r="G50" s="214"/>
      <c r="H50" s="251"/>
      <c r="I50" s="213"/>
      <c r="J50" s="251"/>
      <c r="K50" s="214"/>
      <c r="L50" s="251"/>
      <c r="M50" s="214"/>
      <c r="N50" s="251"/>
      <c r="O50" s="214"/>
      <c r="P50" s="251"/>
      <c r="Q50" s="214"/>
      <c r="R50" s="251"/>
      <c r="S50" s="34"/>
      <c r="T50" s="34"/>
    </row>
    <row r="51" spans="2:20" ht="12.75" hidden="1" customHeight="1">
      <c r="C51" s="16" t="s">
        <v>26</v>
      </c>
      <c r="E51" s="34">
        <v>633</v>
      </c>
      <c r="F51" s="251"/>
      <c r="G51" s="214"/>
      <c r="H51" s="251"/>
      <c r="I51" s="213"/>
      <c r="J51" s="251"/>
      <c r="K51" s="214"/>
      <c r="L51" s="251"/>
      <c r="M51" s="214"/>
      <c r="N51" s="251"/>
      <c r="O51" s="214"/>
      <c r="P51" s="251"/>
      <c r="Q51" s="214"/>
      <c r="R51" s="251"/>
      <c r="S51" s="34"/>
      <c r="T51" s="34"/>
    </row>
    <row r="52" spans="2:20" ht="12.75" hidden="1" customHeight="1">
      <c r="C52" s="16" t="s">
        <v>9</v>
      </c>
      <c r="E52" s="34">
        <v>0</v>
      </c>
      <c r="F52" s="251"/>
      <c r="G52" s="214"/>
      <c r="H52" s="251"/>
      <c r="I52" s="213"/>
      <c r="J52" s="251"/>
      <c r="K52" s="214"/>
      <c r="L52" s="251"/>
      <c r="M52" s="214"/>
      <c r="N52" s="251"/>
      <c r="O52" s="214"/>
      <c r="P52" s="251"/>
      <c r="Q52" s="214"/>
      <c r="R52" s="251"/>
      <c r="S52" s="34"/>
      <c r="T52" s="34"/>
    </row>
    <row r="53" spans="2:20" ht="12.75" hidden="1" customHeight="1">
      <c r="C53" s="16" t="s">
        <v>27</v>
      </c>
      <c r="E53" s="34">
        <v>0</v>
      </c>
      <c r="F53" s="251"/>
      <c r="G53" s="214"/>
      <c r="H53" s="251"/>
      <c r="I53" s="213"/>
      <c r="J53" s="251"/>
      <c r="K53" s="214"/>
      <c r="L53" s="251"/>
      <c r="M53" s="214"/>
      <c r="N53" s="251"/>
      <c r="O53" s="214"/>
      <c r="P53" s="251"/>
      <c r="Q53" s="214"/>
      <c r="R53" s="251"/>
      <c r="S53" s="34"/>
      <c r="T53" s="34"/>
    </row>
    <row r="54" spans="2:20" ht="12.75" hidden="1" customHeight="1">
      <c r="C54" s="16" t="s">
        <v>21</v>
      </c>
      <c r="E54" s="34">
        <v>0</v>
      </c>
      <c r="F54" s="251"/>
      <c r="G54" s="214"/>
      <c r="H54" s="251"/>
      <c r="I54" s="213"/>
      <c r="J54" s="251"/>
      <c r="K54" s="214"/>
      <c r="L54" s="251"/>
      <c r="M54" s="214"/>
      <c r="N54" s="251"/>
      <c r="O54" s="214"/>
      <c r="P54" s="251"/>
      <c r="Q54" s="214"/>
      <c r="R54" s="251"/>
      <c r="S54" s="34"/>
      <c r="T54" s="34"/>
    </row>
    <row r="55" spans="2:20" ht="12.75" hidden="1" customHeight="1">
      <c r="C55" s="16" t="s">
        <v>19</v>
      </c>
      <c r="E55" s="34">
        <v>0</v>
      </c>
      <c r="F55" s="251"/>
      <c r="G55" s="214"/>
      <c r="H55" s="251"/>
      <c r="I55" s="213"/>
      <c r="J55" s="251"/>
      <c r="K55" s="214"/>
      <c r="L55" s="251"/>
      <c r="M55" s="214"/>
      <c r="N55" s="251"/>
      <c r="O55" s="214"/>
      <c r="P55" s="251"/>
      <c r="Q55" s="214"/>
      <c r="R55" s="251"/>
      <c r="S55" s="34"/>
      <c r="T55" s="34"/>
    </row>
    <row r="56" spans="2:20" ht="12.75" hidden="1" customHeight="1">
      <c r="C56" s="16" t="s">
        <v>30</v>
      </c>
      <c r="E56" s="34">
        <v>0</v>
      </c>
      <c r="F56" s="251"/>
      <c r="G56" s="214"/>
      <c r="H56" s="251"/>
      <c r="I56" s="213"/>
      <c r="J56" s="251"/>
      <c r="K56" s="214"/>
      <c r="L56" s="251"/>
      <c r="M56" s="214"/>
      <c r="N56" s="251"/>
      <c r="O56" s="214"/>
      <c r="P56" s="251"/>
      <c r="Q56" s="214"/>
      <c r="R56" s="251"/>
      <c r="S56" s="34"/>
      <c r="T56" s="34"/>
    </row>
    <row r="57" spans="2:20" ht="12.75" hidden="1" customHeight="1">
      <c r="C57" s="16" t="s">
        <v>10</v>
      </c>
      <c r="E57" s="34">
        <v>0</v>
      </c>
      <c r="F57" s="251"/>
      <c r="G57" s="214"/>
      <c r="H57" s="251"/>
      <c r="I57" s="213"/>
      <c r="J57" s="251"/>
      <c r="K57" s="214"/>
      <c r="L57" s="251"/>
      <c r="M57" s="214"/>
      <c r="N57" s="251"/>
      <c r="O57" s="214"/>
      <c r="P57" s="251"/>
      <c r="Q57" s="214"/>
      <c r="R57" s="251"/>
      <c r="S57" s="34"/>
      <c r="T57" s="34"/>
    </row>
    <row r="58" spans="2:20" ht="12.75" customHeight="1">
      <c r="F58" s="251"/>
      <c r="G58" s="214"/>
      <c r="H58" s="251"/>
      <c r="I58" s="213"/>
      <c r="J58" s="251"/>
      <c r="K58" s="214"/>
      <c r="L58" s="251"/>
      <c r="M58" s="214"/>
      <c r="N58" s="251"/>
      <c r="O58" s="214"/>
      <c r="P58" s="251"/>
      <c r="Q58" s="214"/>
      <c r="R58" s="251"/>
      <c r="T58" s="21"/>
    </row>
    <row r="59" spans="2:20">
      <c r="B59" s="14" t="s">
        <v>383</v>
      </c>
      <c r="E59" s="37">
        <f>E37-E18+E49-E39</f>
        <v>16965.992399999996</v>
      </c>
      <c r="F59" s="253">
        <f>F37+F18+F49+F39</f>
        <v>-1997910</v>
      </c>
      <c r="G59" s="38">
        <f>G37+G18+G49+G39</f>
        <v>-141693.80136986301</v>
      </c>
      <c r="H59" s="253">
        <f t="shared" ref="H59:R59" si="10">H37+H18+H49+H39</f>
        <v>-157943.80136986301</v>
      </c>
      <c r="I59" s="38">
        <f t="shared" si="10"/>
        <v>-197105.85616438356</v>
      </c>
      <c r="J59" s="253">
        <f t="shared" si="10"/>
        <v>-141693.80136986301</v>
      </c>
      <c r="K59" s="37">
        <f t="shared" si="10"/>
        <v>-156255.85616438356</v>
      </c>
      <c r="L59" s="253">
        <f t="shared" si="10"/>
        <v>-186793.80136986301</v>
      </c>
      <c r="M59" s="37">
        <f t="shared" si="10"/>
        <v>-181693.80136986301</v>
      </c>
      <c r="N59" s="253">
        <f t="shared" si="10"/>
        <v>-152879.96575342465</v>
      </c>
      <c r="O59" s="37">
        <f t="shared" si="10"/>
        <v>-198793.80136986301</v>
      </c>
      <c r="P59" s="253">
        <f t="shared" si="10"/>
        <v>-140005.85616438356</v>
      </c>
      <c r="Q59" s="37">
        <f t="shared" si="10"/>
        <v>-157943.80136986301</v>
      </c>
      <c r="R59" s="253">
        <f t="shared" si="10"/>
        <v>-185105.85616438356</v>
      </c>
      <c r="S59" s="38">
        <f>S37+S18+S49+S39</f>
        <v>0</v>
      </c>
      <c r="T59" s="38">
        <f>T37+T18+T49+T39</f>
        <v>0</v>
      </c>
    </row>
    <row r="60" spans="2:20" ht="6" customHeight="1">
      <c r="F60" s="251"/>
      <c r="G60" s="214"/>
      <c r="H60" s="251"/>
      <c r="I60" s="213"/>
      <c r="J60" s="251"/>
      <c r="K60" s="214"/>
      <c r="L60" s="251"/>
      <c r="M60" s="214"/>
      <c r="N60" s="251"/>
      <c r="O60" s="214"/>
      <c r="P60" s="251"/>
      <c r="Q60" s="214"/>
      <c r="R60" s="251"/>
    </row>
    <row r="61" spans="2:20">
      <c r="B61" s="13" t="s">
        <v>12</v>
      </c>
      <c r="C61" s="13" t="s">
        <v>9</v>
      </c>
      <c r="E61" s="28">
        <f>-E28-E52</f>
        <v>0</v>
      </c>
      <c r="F61" s="251">
        <f>'assumptions updated'!H46</f>
        <v>100000</v>
      </c>
      <c r="G61" s="214">
        <f>$F61/12</f>
        <v>8333.3333333333339</v>
      </c>
      <c r="H61" s="251">
        <f t="shared" ref="H61:R61" si="11">$F61/12</f>
        <v>8333.3333333333339</v>
      </c>
      <c r="I61" s="213">
        <f t="shared" si="11"/>
        <v>8333.3333333333339</v>
      </c>
      <c r="J61" s="251">
        <f t="shared" si="11"/>
        <v>8333.3333333333339</v>
      </c>
      <c r="K61" s="214">
        <f t="shared" si="11"/>
        <v>8333.3333333333339</v>
      </c>
      <c r="L61" s="251">
        <f t="shared" si="11"/>
        <v>8333.3333333333339</v>
      </c>
      <c r="M61" s="214">
        <f t="shared" si="11"/>
        <v>8333.3333333333339</v>
      </c>
      <c r="N61" s="251">
        <f t="shared" si="11"/>
        <v>8333.3333333333339</v>
      </c>
      <c r="O61" s="214">
        <f t="shared" si="11"/>
        <v>8333.3333333333339</v>
      </c>
      <c r="P61" s="251">
        <f t="shared" si="11"/>
        <v>8333.3333333333339</v>
      </c>
      <c r="Q61" s="214">
        <f t="shared" si="11"/>
        <v>8333.3333333333339</v>
      </c>
      <c r="R61" s="251">
        <f t="shared" si="11"/>
        <v>8333.3333333333339</v>
      </c>
      <c r="S61" s="28"/>
    </row>
    <row r="62" spans="2:20">
      <c r="B62" s="13" t="s">
        <v>14</v>
      </c>
      <c r="C62" s="13" t="s">
        <v>93</v>
      </c>
      <c r="E62" s="34">
        <v>720</v>
      </c>
      <c r="F62" s="251" t="e">
        <f>-'assumptions completed'!#REF!</f>
        <v>#REF!</v>
      </c>
      <c r="G62" s="213"/>
      <c r="H62" s="251"/>
      <c r="I62" s="213"/>
      <c r="J62" s="251"/>
      <c r="K62" s="213"/>
      <c r="L62" s="251"/>
      <c r="M62" s="213"/>
      <c r="N62" s="251"/>
      <c r="O62" s="214"/>
      <c r="P62" s="251"/>
      <c r="Q62" s="214"/>
      <c r="R62" s="251"/>
      <c r="S62" s="34"/>
    </row>
    <row r="63" spans="2:20" ht="6" customHeight="1">
      <c r="F63" s="251"/>
      <c r="G63" s="214"/>
      <c r="H63" s="251"/>
      <c r="I63" s="213"/>
      <c r="J63" s="251"/>
      <c r="K63" s="214"/>
      <c r="L63" s="251"/>
      <c r="M63" s="214"/>
      <c r="N63" s="251"/>
      <c r="O63" s="214"/>
      <c r="P63" s="251"/>
      <c r="Q63" s="214"/>
      <c r="R63" s="251"/>
    </row>
    <row r="64" spans="2:20">
      <c r="B64" s="2" t="s">
        <v>386</v>
      </c>
      <c r="E64" s="37">
        <f>E59+E61+E62</f>
        <v>17685.992399999996</v>
      </c>
      <c r="F64" s="253" t="e">
        <f>F59+F61+F62</f>
        <v>#REF!</v>
      </c>
      <c r="G64" s="37">
        <f>G59+G61+G62</f>
        <v>-133360.46803652967</v>
      </c>
      <c r="H64" s="253">
        <f t="shared" ref="H64:R64" si="12">H59+H61+H62</f>
        <v>-149610.46803652967</v>
      </c>
      <c r="I64" s="38">
        <f t="shared" si="12"/>
        <v>-188772.52283105021</v>
      </c>
      <c r="J64" s="253">
        <f t="shared" si="12"/>
        <v>-133360.46803652967</v>
      </c>
      <c r="K64" s="37">
        <f t="shared" si="12"/>
        <v>-147922.52283105021</v>
      </c>
      <c r="L64" s="253">
        <f t="shared" si="12"/>
        <v>-178460.46803652967</v>
      </c>
      <c r="M64" s="37">
        <f t="shared" si="12"/>
        <v>-173360.46803652967</v>
      </c>
      <c r="N64" s="253">
        <f t="shared" si="12"/>
        <v>-144546.63242009131</v>
      </c>
      <c r="O64" s="37">
        <f t="shared" si="12"/>
        <v>-190460.46803652967</v>
      </c>
      <c r="P64" s="253">
        <f t="shared" si="12"/>
        <v>-131672.52283105021</v>
      </c>
      <c r="Q64" s="37">
        <f t="shared" si="12"/>
        <v>-149610.46803652967</v>
      </c>
      <c r="R64" s="253">
        <f t="shared" si="12"/>
        <v>-176772.52283105021</v>
      </c>
      <c r="S64" s="37"/>
    </row>
    <row r="65" spans="2:19">
      <c r="B65" s="14"/>
      <c r="E65" s="37"/>
      <c r="F65" s="253"/>
      <c r="G65" s="37"/>
      <c r="H65" s="253"/>
      <c r="I65" s="38"/>
      <c r="J65" s="253"/>
      <c r="K65" s="37"/>
      <c r="L65" s="253"/>
      <c r="M65" s="37"/>
      <c r="N65" s="253"/>
      <c r="O65" s="37"/>
      <c r="P65" s="253"/>
      <c r="Q65" s="37"/>
      <c r="R65" s="253"/>
      <c r="S65" s="37"/>
    </row>
    <row r="66" spans="2:19">
      <c r="B66" s="14" t="s">
        <v>28</v>
      </c>
      <c r="E66" s="37">
        <f>E37+E62+E61+E49</f>
        <v>23976.123399999997</v>
      </c>
      <c r="F66" s="253" t="e">
        <f>F37+F62+F61+F49</f>
        <v>#REF!</v>
      </c>
      <c r="G66" s="37">
        <f>G37+G62+G61+G49</f>
        <v>-133360.46803652967</v>
      </c>
      <c r="H66" s="253">
        <f t="shared" ref="H66:R66" si="13">H37+H62+H61+H49</f>
        <v>-149610.46803652967</v>
      </c>
      <c r="I66" s="38">
        <f t="shared" si="13"/>
        <v>-188772.52283105021</v>
      </c>
      <c r="J66" s="253">
        <f t="shared" si="13"/>
        <v>-133360.46803652967</v>
      </c>
      <c r="K66" s="37">
        <f t="shared" si="13"/>
        <v>-147922.52283105021</v>
      </c>
      <c r="L66" s="253">
        <f t="shared" si="13"/>
        <v>-178460.46803652967</v>
      </c>
      <c r="M66" s="37">
        <f t="shared" si="13"/>
        <v>-173360.46803652967</v>
      </c>
      <c r="N66" s="253">
        <f t="shared" si="13"/>
        <v>-144546.63242009131</v>
      </c>
      <c r="O66" s="37">
        <f t="shared" si="13"/>
        <v>-190460.46803652967</v>
      </c>
      <c r="P66" s="253">
        <f t="shared" si="13"/>
        <v>-131672.52283105021</v>
      </c>
      <c r="Q66" s="37">
        <f t="shared" si="13"/>
        <v>-149610.46803652967</v>
      </c>
      <c r="R66" s="253">
        <f t="shared" si="13"/>
        <v>-176772.52283105021</v>
      </c>
      <c r="S66" s="37"/>
    </row>
    <row r="67" spans="2:19" ht="6" customHeight="1"/>
    <row r="68" spans="2:19">
      <c r="D68" s="16"/>
      <c r="E68" s="28"/>
      <c r="F68" s="28"/>
      <c r="G68" s="28"/>
      <c r="H68" s="28"/>
      <c r="I68" s="55"/>
      <c r="J68" s="28"/>
      <c r="K68" s="28"/>
      <c r="L68" s="28"/>
      <c r="M68" s="17"/>
      <c r="N68" s="28"/>
      <c r="O68" s="28"/>
      <c r="P68" s="28"/>
      <c r="Q68" s="28"/>
      <c r="R68" s="28"/>
      <c r="S68" s="28"/>
    </row>
  </sheetData>
  <mergeCells count="3">
    <mergeCell ref="B1:J1"/>
    <mergeCell ref="F5:I5"/>
    <mergeCell ref="J5:M5"/>
  </mergeCells>
  <phoneticPr fontId="4" type="noConversion"/>
  <pageMargins left="0.75" right="0.75" top="1" bottom="1" header="0.5" footer="0.5"/>
  <pageSetup paperSize="9" orientation="portrait" horizontalDpi="4294967293" verticalDpi="4294967293"/>
  <headerFooter alignWithMargins="0"/>
  <ignoredErrors>
    <ignoredError sqref="I21:O26 P21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60"/>
  <sheetViews>
    <sheetView workbookViewId="0">
      <selection activeCell="H14" sqref="H14"/>
    </sheetView>
  </sheetViews>
  <sheetFormatPr baseColWidth="10" defaultColWidth="8.83203125" defaultRowHeight="13"/>
  <cols>
    <col min="2" max="2" width="29.1640625" customWidth="1"/>
    <col min="3" max="3" width="11.83203125" customWidth="1"/>
    <col min="4" max="4" width="2.33203125" customWidth="1"/>
    <col min="5" max="5" width="11.83203125" customWidth="1"/>
    <col min="6" max="6" width="2.33203125" customWidth="1"/>
    <col min="7" max="7" width="12.6640625" customWidth="1"/>
    <col min="8" max="8" width="12.6640625" style="142" customWidth="1"/>
    <col min="9" max="9" width="12.6640625" customWidth="1"/>
    <col min="10" max="10" width="1.6640625" customWidth="1"/>
    <col min="11" max="13" width="12.6640625" customWidth="1"/>
    <col min="14" max="14" width="1.6640625" hidden="1" customWidth="1"/>
    <col min="15" max="15" width="0" hidden="1" customWidth="1"/>
    <col min="16" max="16" width="14.5" hidden="1" customWidth="1"/>
    <col min="17" max="17" width="1.6640625" customWidth="1"/>
    <col min="18" max="18" width="11.6640625" bestFit="1" customWidth="1"/>
  </cols>
  <sheetData>
    <row r="1" spans="1:18" ht="18">
      <c r="G1" s="220"/>
      <c r="H1" s="220" t="s">
        <v>371</v>
      </c>
      <c r="I1" s="220"/>
      <c r="J1" s="220"/>
      <c r="K1" s="220"/>
      <c r="L1" s="220"/>
      <c r="M1" s="220"/>
      <c r="P1" s="692" t="s">
        <v>298</v>
      </c>
      <c r="Q1" s="692"/>
      <c r="R1" s="692"/>
    </row>
    <row r="2" spans="1:18" hidden="1"/>
    <row r="3" spans="1:18" ht="18">
      <c r="A3" s="67" t="s">
        <v>340</v>
      </c>
      <c r="G3" s="220"/>
      <c r="H3" s="220"/>
      <c r="I3" s="220"/>
      <c r="J3" s="220"/>
      <c r="K3" s="220"/>
      <c r="L3" s="220"/>
      <c r="M3" s="220"/>
      <c r="P3" s="691"/>
      <c r="Q3" s="691"/>
      <c r="R3" s="691"/>
    </row>
    <row r="4" spans="1:18">
      <c r="A4" s="2"/>
      <c r="P4" s="691"/>
      <c r="Q4" s="691"/>
      <c r="R4" s="691"/>
    </row>
    <row r="5" spans="1:18" ht="15" thickBot="1">
      <c r="G5" s="693" t="s">
        <v>377</v>
      </c>
      <c r="H5" s="693"/>
      <c r="I5" s="693"/>
      <c r="J5" s="230"/>
      <c r="K5" s="693" t="s">
        <v>377</v>
      </c>
      <c r="L5" s="693"/>
      <c r="M5" s="693"/>
    </row>
    <row r="6" spans="1:18" ht="14">
      <c r="C6" s="221" t="s">
        <v>292</v>
      </c>
      <c r="D6" s="2"/>
      <c r="E6" s="221" t="s">
        <v>285</v>
      </c>
      <c r="F6" s="2"/>
      <c r="G6" s="221" t="s">
        <v>287</v>
      </c>
      <c r="H6" s="221" t="s">
        <v>287</v>
      </c>
      <c r="I6" s="222" t="s">
        <v>287</v>
      </c>
      <c r="J6" s="135"/>
      <c r="K6" s="221" t="s">
        <v>290</v>
      </c>
      <c r="L6" s="221" t="s">
        <v>290</v>
      </c>
      <c r="M6" s="221" t="s">
        <v>290</v>
      </c>
      <c r="N6" s="2"/>
      <c r="O6" s="224" t="s">
        <v>292</v>
      </c>
      <c r="P6" s="225" t="s">
        <v>348</v>
      </c>
      <c r="Q6" s="135"/>
      <c r="R6" s="221" t="s">
        <v>373</v>
      </c>
    </row>
    <row r="7" spans="1:18" ht="14" thickBot="1">
      <c r="C7" s="221" t="s">
        <v>288</v>
      </c>
      <c r="D7" s="2"/>
      <c r="E7" s="221" t="s">
        <v>286</v>
      </c>
      <c r="F7" s="2"/>
      <c r="G7" s="221" t="s">
        <v>288</v>
      </c>
      <c r="H7" s="223" t="s">
        <v>347</v>
      </c>
      <c r="I7" s="221" t="s">
        <v>321</v>
      </c>
      <c r="J7" s="135"/>
      <c r="K7" s="221" t="s">
        <v>288</v>
      </c>
      <c r="L7" s="221" t="s">
        <v>186</v>
      </c>
      <c r="M7" s="221" t="s">
        <v>321</v>
      </c>
      <c r="N7" s="2"/>
      <c r="O7" s="180" t="s">
        <v>288</v>
      </c>
      <c r="P7" s="181" t="s">
        <v>288</v>
      </c>
      <c r="Q7" s="135"/>
      <c r="R7" s="221" t="s">
        <v>286</v>
      </c>
    </row>
    <row r="8" spans="1:18" hidden="1"/>
    <row r="9" spans="1:18" hidden="1"/>
    <row r="10" spans="1:18" hidden="1">
      <c r="A10" s="67"/>
    </row>
    <row r="11" spans="1:18" ht="14" hidden="1">
      <c r="A11" s="141" t="s">
        <v>341</v>
      </c>
    </row>
    <row r="12" spans="1:18" ht="14" hidden="1">
      <c r="A12" s="141" t="s">
        <v>342</v>
      </c>
    </row>
    <row r="13" spans="1:18" ht="14">
      <c r="A13" s="140" t="s">
        <v>374</v>
      </c>
    </row>
    <row r="14" spans="1:18" s="144" customFormat="1" ht="12">
      <c r="A14" s="144" t="s">
        <v>349</v>
      </c>
      <c r="C14" s="145">
        <f>-G14/$G$26*'Month 1 OLD'!$G$13</f>
        <v>481624.32692307694</v>
      </c>
      <c r="E14" s="145">
        <f>C14</f>
        <v>481624.32692307694</v>
      </c>
      <c r="G14" s="145">
        <f>'cashflow updated'!G21/-1.2*48/52+'cashflow updated'!G21/-1.2*0.015</f>
        <v>40905.07982086407</v>
      </c>
      <c r="H14" s="145">
        <f>-'Month 1 OLD'!$C$13*'Month 1 rv'!G14/'Month 1 rv'!$G$26</f>
        <v>39545.414423076923</v>
      </c>
      <c r="I14" s="145">
        <f>G14-H14</f>
        <v>1359.6653977871465</v>
      </c>
      <c r="K14" s="145">
        <f t="shared" ref="K14:M15" si="0">G14</f>
        <v>40905.07982086407</v>
      </c>
      <c r="L14" s="145">
        <f t="shared" si="0"/>
        <v>39545.414423076923</v>
      </c>
      <c r="M14" s="145">
        <f t="shared" si="0"/>
        <v>1359.6653977871465</v>
      </c>
      <c r="P14" s="145">
        <f>C14</f>
        <v>481624.32692307694</v>
      </c>
      <c r="R14" s="145">
        <f>E14-H14</f>
        <v>442078.91250000003</v>
      </c>
    </row>
    <row r="15" spans="1:18" s="144" customFormat="1" ht="12">
      <c r="A15" s="144" t="s">
        <v>350</v>
      </c>
      <c r="C15" s="145">
        <f>-G15/$G$26*'Month 1 OLD'!$G$13</f>
        <v>0</v>
      </c>
      <c r="E15" s="145">
        <f>C15</f>
        <v>0</v>
      </c>
      <c r="G15" s="145">
        <v>0</v>
      </c>
      <c r="H15" s="145">
        <f>-'Month 1 OLD'!$C$13*'Month 1 rv'!G15/'Month 1 rv'!$G$26</f>
        <v>0</v>
      </c>
      <c r="I15" s="145">
        <f>G15-H15</f>
        <v>0</v>
      </c>
      <c r="K15" s="145">
        <f t="shared" si="0"/>
        <v>0</v>
      </c>
      <c r="L15" s="145">
        <f t="shared" si="0"/>
        <v>0</v>
      </c>
      <c r="M15" s="145">
        <f t="shared" si="0"/>
        <v>0</v>
      </c>
      <c r="P15" s="145">
        <f>C15</f>
        <v>0</v>
      </c>
      <c r="R15" s="145">
        <f>E15-H15</f>
        <v>0</v>
      </c>
    </row>
    <row r="16" spans="1:18" s="144" customFormat="1">
      <c r="A16" s="2" t="s">
        <v>343</v>
      </c>
      <c r="C16" s="164">
        <f>SUM(C14:C15)</f>
        <v>481624.32692307694</v>
      </c>
      <c r="E16" s="164">
        <f>SUM(E14:E15)</f>
        <v>481624.32692307694</v>
      </c>
      <c r="G16" s="164">
        <f>SUM(G14:G15)</f>
        <v>40905.07982086407</v>
      </c>
      <c r="H16" s="164">
        <f>SUM(H14:H15)</f>
        <v>39545.414423076923</v>
      </c>
      <c r="I16" s="164">
        <f>SUM(I14:I15)</f>
        <v>1359.6653977871465</v>
      </c>
      <c r="J16" s="152"/>
      <c r="K16" s="164">
        <f>SUM(K14:K15)</f>
        <v>40905.07982086407</v>
      </c>
      <c r="L16" s="164">
        <f>SUM(L14:L15)</f>
        <v>39545.414423076923</v>
      </c>
      <c r="M16" s="164">
        <f>SUM(M14:M15)</f>
        <v>1359.6653977871465</v>
      </c>
      <c r="N16" s="152"/>
      <c r="P16" s="164">
        <f>SUM(P14:P15)</f>
        <v>481624.32692307694</v>
      </c>
      <c r="Q16" s="152"/>
      <c r="R16" s="164">
        <f>SUM(R14:R15)</f>
        <v>442078.91250000003</v>
      </c>
    </row>
    <row r="17" spans="1:18" s="144" customFormat="1" ht="12">
      <c r="C17" s="145"/>
      <c r="E17" s="145"/>
      <c r="G17" s="145"/>
      <c r="H17" s="145"/>
      <c r="I17" s="145"/>
      <c r="K17" s="145"/>
      <c r="L17" s="145"/>
      <c r="M17" s="145"/>
      <c r="P17" s="145"/>
      <c r="R17" s="145"/>
    </row>
    <row r="18" spans="1:18" s="144" customFormat="1" ht="12">
      <c r="A18" s="152" t="s">
        <v>344</v>
      </c>
      <c r="C18" s="145"/>
      <c r="E18" s="145"/>
      <c r="G18" s="145"/>
      <c r="H18" s="145"/>
      <c r="I18" s="145"/>
      <c r="K18" s="145"/>
      <c r="L18" s="145"/>
      <c r="M18" s="145"/>
      <c r="P18" s="145"/>
      <c r="R18" s="145"/>
    </row>
    <row r="19" spans="1:18" s="144" customFormat="1" ht="12">
      <c r="A19" s="144" t="s">
        <v>351</v>
      </c>
      <c r="C19" s="145">
        <f>-G19/$G$26*'Month 1 OLD'!$G$13</f>
        <v>39493.589743589742</v>
      </c>
      <c r="E19" s="145">
        <f>C19</f>
        <v>39493.589743589742</v>
      </c>
      <c r="G19" s="145">
        <f>'cashflow updated'!G21/-1.2*4/52</f>
        <v>3354.2500878117312</v>
      </c>
      <c r="H19" s="145">
        <f>-'Month 1 OLD'!$C$13*'Month 1 rv'!G19/'Month 1 rv'!$G$26</f>
        <v>3242.7564102564097</v>
      </c>
      <c r="I19" s="145">
        <f>G19-H19</f>
        <v>111.49367755532148</v>
      </c>
      <c r="K19" s="145">
        <f t="shared" ref="K19:M22" si="1">G19</f>
        <v>3354.2500878117312</v>
      </c>
      <c r="L19" s="145">
        <f t="shared" si="1"/>
        <v>3242.7564102564097</v>
      </c>
      <c r="M19" s="145">
        <f t="shared" si="1"/>
        <v>111.49367755532148</v>
      </c>
      <c r="P19" s="145">
        <f>C19</f>
        <v>39493.589743589742</v>
      </c>
      <c r="R19" s="145">
        <f>E19-H19</f>
        <v>36250.833333333336</v>
      </c>
    </row>
    <row r="20" spans="1:18" s="144" customFormat="1" ht="12">
      <c r="A20" s="144" t="s">
        <v>352</v>
      </c>
      <c r="C20" s="145">
        <f>-G20/$G$26*'Month 1 OLD'!$G$13</f>
        <v>20536.666666666668</v>
      </c>
      <c r="E20" s="145">
        <f>C20</f>
        <v>20536.666666666668</v>
      </c>
      <c r="G20" s="145">
        <f>'cashflow updated'!G21/-1.2*0.04</f>
        <v>1744.2100456621004</v>
      </c>
      <c r="H20" s="145">
        <f>-'Month 1 OLD'!$C$13*'Month 1 rv'!G20/'Month 1 rv'!$G$26</f>
        <v>1686.2333333333331</v>
      </c>
      <c r="I20" s="145">
        <f>G20-H20</f>
        <v>57.976712328767235</v>
      </c>
      <c r="K20" s="145">
        <f t="shared" si="1"/>
        <v>1744.2100456621004</v>
      </c>
      <c r="L20" s="145">
        <f t="shared" si="1"/>
        <v>1686.2333333333331</v>
      </c>
      <c r="M20" s="145">
        <f t="shared" si="1"/>
        <v>57.976712328767235</v>
      </c>
      <c r="P20" s="145">
        <f>C20</f>
        <v>20536.666666666668</v>
      </c>
      <c r="R20" s="145">
        <f>E20-H20</f>
        <v>18850.433333333334</v>
      </c>
    </row>
    <row r="21" spans="1:18" s="144" customFormat="1" ht="12">
      <c r="A21" s="144" t="s">
        <v>357</v>
      </c>
      <c r="C21" s="145">
        <f>-G21/$G$26*'Month 1 OLD'!$G$13</f>
        <v>28237.916666666664</v>
      </c>
      <c r="E21" s="145">
        <f>C21</f>
        <v>28237.916666666664</v>
      </c>
      <c r="G21" s="145">
        <f>'cashflow updated'!G21/-1.2*0.055</f>
        <v>2398.288812785388</v>
      </c>
      <c r="H21" s="145">
        <f>-'Month 1 OLD'!$C$13*'Month 1 rv'!G21/'Month 1 rv'!$G$26</f>
        <v>2318.5708333333332</v>
      </c>
      <c r="I21" s="145">
        <f>G21-H21</f>
        <v>79.717979452054806</v>
      </c>
      <c r="K21" s="145">
        <f t="shared" si="1"/>
        <v>2398.288812785388</v>
      </c>
      <c r="L21" s="145">
        <f t="shared" si="1"/>
        <v>2318.5708333333332</v>
      </c>
      <c r="M21" s="145">
        <f t="shared" si="1"/>
        <v>79.717979452054806</v>
      </c>
      <c r="P21" s="145">
        <f>C21</f>
        <v>28237.916666666664</v>
      </c>
      <c r="R21" s="145">
        <f>E21-H21</f>
        <v>25919.345833333333</v>
      </c>
    </row>
    <row r="22" spans="1:18" s="144" customFormat="1" ht="12">
      <c r="A22" s="144" t="s">
        <v>353</v>
      </c>
      <c r="C22" s="145">
        <f>-G22/$G$26*'Month 1 OLD'!$G$13</f>
        <v>46207.499999999993</v>
      </c>
      <c r="E22" s="145">
        <f>C22</f>
        <v>46207.499999999993</v>
      </c>
      <c r="G22" s="145">
        <f>'cashflow updated'!G21/-1.2*0.09</f>
        <v>3924.4726027397255</v>
      </c>
      <c r="H22" s="145">
        <f>-'Month 1 OLD'!$C$13*'Month 1 rv'!G22/'Month 1 rv'!$G$26</f>
        <v>3794.0249999999992</v>
      </c>
      <c r="I22" s="145">
        <f>G22-H22</f>
        <v>130.44760273972634</v>
      </c>
      <c r="K22" s="145">
        <f t="shared" si="1"/>
        <v>3924.4726027397255</v>
      </c>
      <c r="L22" s="145">
        <f t="shared" si="1"/>
        <v>3794.0249999999992</v>
      </c>
      <c r="M22" s="145">
        <f t="shared" si="1"/>
        <v>130.44760273972634</v>
      </c>
      <c r="P22" s="145">
        <f>C22</f>
        <v>46207.499999999993</v>
      </c>
      <c r="R22" s="145">
        <f>E22-H22</f>
        <v>42413.474999999991</v>
      </c>
    </row>
    <row r="23" spans="1:18">
      <c r="R23" s="145"/>
    </row>
    <row r="24" spans="1:18" s="144" customFormat="1">
      <c r="A24" s="2" t="s">
        <v>345</v>
      </c>
      <c r="C24" s="164">
        <f>SUM(C19:C22)</f>
        <v>134475.67307692306</v>
      </c>
      <c r="E24" s="164">
        <f>SUM(E19:E22)</f>
        <v>134475.67307692306</v>
      </c>
      <c r="G24" s="164">
        <f>SUM(G19:G22)</f>
        <v>11421.221548998947</v>
      </c>
      <c r="H24" s="164">
        <f>SUM(H19:H22)</f>
        <v>11041.585576923075</v>
      </c>
      <c r="I24" s="164">
        <f>SUM(I19:I22)</f>
        <v>379.63597207586986</v>
      </c>
      <c r="J24" s="152"/>
      <c r="K24" s="164">
        <f>SUM(K19:K22)</f>
        <v>11421.221548998947</v>
      </c>
      <c r="L24" s="164">
        <f>SUM(L19:L22)</f>
        <v>11041.585576923075</v>
      </c>
      <c r="M24" s="164">
        <f>SUM(M19:M22)</f>
        <v>379.63597207586986</v>
      </c>
      <c r="N24" s="152"/>
      <c r="P24" s="164">
        <f>SUM(P19:P22)</f>
        <v>134475.67307692306</v>
      </c>
      <c r="Q24" s="152"/>
      <c r="R24" s="164">
        <f>SUM(R19:R22)</f>
        <v>123434.08749999999</v>
      </c>
    </row>
    <row r="25" spans="1:18" s="144" customFormat="1">
      <c r="A25" s="2"/>
      <c r="C25" s="145"/>
      <c r="E25" s="145"/>
      <c r="G25" s="145"/>
      <c r="H25" s="145"/>
      <c r="I25" s="145"/>
      <c r="K25" s="145"/>
      <c r="L25" s="145"/>
      <c r="M25" s="145"/>
      <c r="P25" s="145"/>
      <c r="R25" s="145"/>
    </row>
    <row r="26" spans="1:18">
      <c r="A26" s="2" t="s">
        <v>346</v>
      </c>
      <c r="C26" s="143">
        <f>C16+C24</f>
        <v>616100</v>
      </c>
      <c r="D26" s="2"/>
      <c r="E26" s="143">
        <f>E16+E24</f>
        <v>616100</v>
      </c>
      <c r="F26" s="2"/>
      <c r="G26" s="143">
        <f>G16+G24</f>
        <v>52326.301369863017</v>
      </c>
      <c r="H26" s="143">
        <f>H16+H24</f>
        <v>50587</v>
      </c>
      <c r="I26" s="143">
        <f>I16+I24</f>
        <v>1739.3013698630164</v>
      </c>
      <c r="K26" s="143">
        <f>K16+K24</f>
        <v>52326.301369863017</v>
      </c>
      <c r="L26" s="143">
        <f>L16+L24</f>
        <v>50587</v>
      </c>
      <c r="M26" s="143">
        <f>M16+M24</f>
        <v>1739.3013698630164</v>
      </c>
      <c r="P26" s="143">
        <f>P16+P24</f>
        <v>616100</v>
      </c>
      <c r="R26" s="143">
        <f>R16+R24</f>
        <v>565513</v>
      </c>
    </row>
    <row r="27" spans="1:18">
      <c r="A27" s="2"/>
      <c r="C27" s="143"/>
      <c r="D27" s="2"/>
      <c r="E27" s="143"/>
      <c r="F27" s="2"/>
      <c r="G27" s="143"/>
      <c r="H27" s="143"/>
      <c r="I27" s="143"/>
      <c r="K27" s="143"/>
      <c r="L27" s="143"/>
      <c r="M27" s="143"/>
      <c r="P27" s="143"/>
    </row>
    <row r="28" spans="1:18" ht="14">
      <c r="A28" s="2"/>
      <c r="C28" s="221" t="s">
        <v>292</v>
      </c>
      <c r="D28" s="2"/>
      <c r="E28" s="221" t="s">
        <v>285</v>
      </c>
      <c r="F28" s="2"/>
      <c r="G28" s="221" t="s">
        <v>287</v>
      </c>
      <c r="H28" s="221" t="s">
        <v>287</v>
      </c>
      <c r="I28" s="222" t="s">
        <v>287</v>
      </c>
      <c r="J28" s="135"/>
      <c r="K28" s="221" t="s">
        <v>290</v>
      </c>
      <c r="L28" s="221" t="s">
        <v>290</v>
      </c>
      <c r="M28" s="221" t="s">
        <v>290</v>
      </c>
      <c r="N28" s="2"/>
      <c r="O28" s="224" t="s">
        <v>292</v>
      </c>
      <c r="P28" s="225" t="s">
        <v>348</v>
      </c>
      <c r="Q28" s="135"/>
      <c r="R28" s="221" t="s">
        <v>373</v>
      </c>
    </row>
    <row r="29" spans="1:18" ht="14" thickBot="1">
      <c r="A29" s="2"/>
      <c r="C29" s="221" t="s">
        <v>288</v>
      </c>
      <c r="D29" s="2"/>
      <c r="E29" s="221" t="s">
        <v>286</v>
      </c>
      <c r="F29" s="2"/>
      <c r="G29" s="221" t="s">
        <v>288</v>
      </c>
      <c r="H29" s="223" t="s">
        <v>347</v>
      </c>
      <c r="I29" s="221" t="s">
        <v>321</v>
      </c>
      <c r="J29" s="135"/>
      <c r="K29" s="221" t="s">
        <v>288</v>
      </c>
      <c r="L29" s="221" t="s">
        <v>186</v>
      </c>
      <c r="M29" s="221" t="s">
        <v>321</v>
      </c>
      <c r="N29" s="2"/>
      <c r="O29" s="180" t="s">
        <v>288</v>
      </c>
      <c r="P29" s="181" t="s">
        <v>288</v>
      </c>
      <c r="Q29" s="135"/>
      <c r="R29" s="221" t="s">
        <v>286</v>
      </c>
    </row>
    <row r="30" spans="1:18" ht="14">
      <c r="A30" s="140" t="s">
        <v>375</v>
      </c>
    </row>
    <row r="31" spans="1:18">
      <c r="A31" s="2" t="s">
        <v>376</v>
      </c>
    </row>
    <row r="32" spans="1:18" s="144" customFormat="1" ht="12">
      <c r="A32" s="144" t="s">
        <v>360</v>
      </c>
      <c r="C32" s="145">
        <f>-'Month 1 OLD'!G15</f>
        <v>45000</v>
      </c>
      <c r="E32" s="145">
        <f t="shared" ref="E32:E41" si="2">C32</f>
        <v>45000</v>
      </c>
      <c r="G32" s="145">
        <f>-'Month 1 OLD'!E15</f>
        <v>0</v>
      </c>
      <c r="H32" s="145">
        <f>-'Month 1 OLD'!C15</f>
        <v>0</v>
      </c>
      <c r="I32" s="145">
        <f t="shared" ref="I32:I42" si="3">G32-H32</f>
        <v>0</v>
      </c>
      <c r="J32" s="145"/>
      <c r="K32" s="145">
        <f t="shared" ref="K32:K41" si="4">G32</f>
        <v>0</v>
      </c>
      <c r="L32" s="145">
        <f t="shared" ref="L32:L41" si="5">H32</f>
        <v>0</v>
      </c>
      <c r="M32" s="145">
        <f t="shared" ref="M32:M41" si="6">I32</f>
        <v>0</v>
      </c>
      <c r="N32" s="145"/>
      <c r="P32" s="145">
        <f t="shared" ref="P32:P41" si="7">C32</f>
        <v>45000</v>
      </c>
      <c r="Q32" s="145"/>
      <c r="R32" s="145">
        <f>E32-H32</f>
        <v>45000</v>
      </c>
    </row>
    <row r="33" spans="1:18" s="144" customFormat="1" ht="12">
      <c r="A33" s="144" t="s">
        <v>361</v>
      </c>
      <c r="C33" s="145">
        <f>-'Month 1 OLD'!G16</f>
        <v>91610</v>
      </c>
      <c r="E33" s="145">
        <f t="shared" si="2"/>
        <v>91610</v>
      </c>
      <c r="G33" s="145">
        <f>'assumptions updated'!K19+'assumptions updated'!K23</f>
        <v>7634.166666666667</v>
      </c>
      <c r="H33" s="145">
        <f>-'Month 1 OLD'!C16</f>
        <v>7800</v>
      </c>
      <c r="I33" s="145">
        <f t="shared" si="3"/>
        <v>-165.83333333333303</v>
      </c>
      <c r="J33" s="145"/>
      <c r="K33" s="145">
        <f t="shared" si="4"/>
        <v>7634.166666666667</v>
      </c>
      <c r="L33" s="145">
        <f t="shared" si="5"/>
        <v>7800</v>
      </c>
      <c r="M33" s="145">
        <f t="shared" si="6"/>
        <v>-165.83333333333303</v>
      </c>
      <c r="N33" s="145"/>
      <c r="P33" s="145">
        <f t="shared" si="7"/>
        <v>91610</v>
      </c>
      <c r="Q33" s="145"/>
      <c r="R33" s="145">
        <f t="shared" ref="R33:R41" si="8">E33-H33</f>
        <v>83810</v>
      </c>
    </row>
    <row r="34" spans="1:18" s="144" customFormat="1" ht="12">
      <c r="A34" s="144" t="s">
        <v>362</v>
      </c>
      <c r="C34" s="145">
        <f>-'Month 1 OLD'!G17</f>
        <v>395200</v>
      </c>
      <c r="E34" s="145">
        <f t="shared" si="2"/>
        <v>395200</v>
      </c>
      <c r="G34" s="145">
        <f>'assumptions updated'!K26+'assumptions updated'!K27+'assumptions updated'!K28</f>
        <v>30400</v>
      </c>
      <c r="H34" s="145">
        <f>-'Month 1 OLD'!C17</f>
        <v>28394</v>
      </c>
      <c r="I34" s="145">
        <f t="shared" si="3"/>
        <v>2006</v>
      </c>
      <c r="J34" s="145"/>
      <c r="K34" s="145">
        <f t="shared" si="4"/>
        <v>30400</v>
      </c>
      <c r="L34" s="145">
        <f t="shared" si="5"/>
        <v>28394</v>
      </c>
      <c r="M34" s="145">
        <f t="shared" si="6"/>
        <v>2006</v>
      </c>
      <c r="N34" s="145"/>
      <c r="P34" s="145">
        <f t="shared" si="7"/>
        <v>395200</v>
      </c>
      <c r="Q34" s="145"/>
      <c r="R34" s="145">
        <f t="shared" si="8"/>
        <v>366806</v>
      </c>
    </row>
    <row r="35" spans="1:18" s="144" customFormat="1" ht="12">
      <c r="A35" s="144" t="s">
        <v>363</v>
      </c>
      <c r="C35" s="145">
        <f>-'Month 1 OLD'!G18</f>
        <v>72000</v>
      </c>
      <c r="E35" s="145">
        <f t="shared" si="2"/>
        <v>72000</v>
      </c>
      <c r="G35" s="145">
        <f>'assumptions updated'!K35</f>
        <v>6000</v>
      </c>
      <c r="H35" s="145">
        <f>-'Month 1 OLD'!C18</f>
        <v>6289</v>
      </c>
      <c r="I35" s="145">
        <f t="shared" si="3"/>
        <v>-289</v>
      </c>
      <c r="J35" s="145"/>
      <c r="K35" s="145">
        <f t="shared" si="4"/>
        <v>6000</v>
      </c>
      <c r="L35" s="145">
        <f t="shared" si="5"/>
        <v>6289</v>
      </c>
      <c r="M35" s="145">
        <f t="shared" si="6"/>
        <v>-289</v>
      </c>
      <c r="N35" s="145"/>
      <c r="P35" s="145">
        <f t="shared" si="7"/>
        <v>72000</v>
      </c>
      <c r="Q35" s="145"/>
      <c r="R35" s="145">
        <f t="shared" si="8"/>
        <v>65711</v>
      </c>
    </row>
    <row r="36" spans="1:18" s="144" customFormat="1" ht="12">
      <c r="A36" s="144" t="s">
        <v>359</v>
      </c>
      <c r="C36" s="145">
        <f>-'Month 1 OLD'!G19</f>
        <v>168000</v>
      </c>
      <c r="E36" s="145">
        <f t="shared" si="2"/>
        <v>168000</v>
      </c>
      <c r="G36" s="145">
        <f>'assumptions updated'!K36+'assumptions updated'!K37+'assumptions updated'!K38+'assumptions updated'!K39+'assumptions updated'!K40+'assumptions updated'!K41</f>
        <v>3000</v>
      </c>
      <c r="H36" s="145">
        <f>-'Month 1 OLD'!C19</f>
        <v>3402</v>
      </c>
      <c r="I36" s="145">
        <f t="shared" si="3"/>
        <v>-402</v>
      </c>
      <c r="J36" s="145"/>
      <c r="K36" s="145">
        <f t="shared" si="4"/>
        <v>3000</v>
      </c>
      <c r="L36" s="145">
        <f t="shared" si="5"/>
        <v>3402</v>
      </c>
      <c r="M36" s="145">
        <f t="shared" si="6"/>
        <v>-402</v>
      </c>
      <c r="N36" s="145"/>
      <c r="P36" s="145">
        <f t="shared" si="7"/>
        <v>168000</v>
      </c>
      <c r="Q36" s="145"/>
      <c r="R36" s="145">
        <f t="shared" si="8"/>
        <v>164598</v>
      </c>
    </row>
    <row r="37" spans="1:18" s="144" customFormat="1" ht="12">
      <c r="A37" s="144" t="s">
        <v>432</v>
      </c>
      <c r="C37" s="145">
        <f>-'Month 1 OLD'!G20</f>
        <v>104000</v>
      </c>
      <c r="E37" s="145">
        <f t="shared" si="2"/>
        <v>104000</v>
      </c>
      <c r="G37" s="145">
        <f>'assumptions updated'!K20+'assumptions updated'!K21</f>
        <v>0</v>
      </c>
      <c r="H37" s="145">
        <f>-'Month 1 OLD'!C20</f>
        <v>0</v>
      </c>
      <c r="I37" s="145">
        <f t="shared" si="3"/>
        <v>0</v>
      </c>
      <c r="J37" s="145"/>
      <c r="K37" s="145">
        <f t="shared" si="4"/>
        <v>0</v>
      </c>
      <c r="L37" s="145">
        <f t="shared" si="5"/>
        <v>0</v>
      </c>
      <c r="M37" s="145">
        <f t="shared" si="6"/>
        <v>0</v>
      </c>
      <c r="N37" s="145"/>
      <c r="P37" s="145"/>
      <c r="Q37" s="145"/>
      <c r="R37" s="145">
        <f t="shared" si="8"/>
        <v>104000</v>
      </c>
    </row>
    <row r="38" spans="1:18" s="144" customFormat="1" ht="12">
      <c r="A38" s="144" t="s">
        <v>657</v>
      </c>
      <c r="C38" s="145">
        <f>-'Month 1 OLD'!G21</f>
        <v>100000</v>
      </c>
      <c r="E38" s="145">
        <f t="shared" si="2"/>
        <v>100000</v>
      </c>
      <c r="G38" s="145">
        <f>'assumptions updated'!K18</f>
        <v>3000</v>
      </c>
      <c r="H38" s="145">
        <f>-'Month 1 OLD'!C21</f>
        <v>0</v>
      </c>
      <c r="I38" s="145">
        <f t="shared" si="3"/>
        <v>3000</v>
      </c>
      <c r="J38" s="145"/>
      <c r="K38" s="145">
        <f t="shared" si="4"/>
        <v>3000</v>
      </c>
      <c r="L38" s="145">
        <f t="shared" si="5"/>
        <v>0</v>
      </c>
      <c r="M38" s="145">
        <f t="shared" si="6"/>
        <v>3000</v>
      </c>
      <c r="N38" s="145"/>
      <c r="P38" s="145">
        <f t="shared" si="7"/>
        <v>100000</v>
      </c>
      <c r="Q38" s="145"/>
      <c r="R38" s="145">
        <f t="shared" si="8"/>
        <v>100000</v>
      </c>
    </row>
    <row r="39" spans="1:18" s="144" customFormat="1" ht="12">
      <c r="A39" s="144" t="s">
        <v>358</v>
      </c>
      <c r="C39" s="145">
        <f>-'Month 1 OLD'!G22</f>
        <v>46800</v>
      </c>
      <c r="E39" s="145">
        <f t="shared" si="2"/>
        <v>46800</v>
      </c>
      <c r="G39" s="145">
        <f>'assumptions updated'!K33</f>
        <v>3600</v>
      </c>
      <c r="H39" s="145">
        <f>-'Month 1 OLD'!C22</f>
        <v>7581</v>
      </c>
      <c r="I39" s="145">
        <f t="shared" si="3"/>
        <v>-3981</v>
      </c>
      <c r="J39" s="145"/>
      <c r="K39" s="145">
        <f t="shared" si="4"/>
        <v>3600</v>
      </c>
      <c r="L39" s="145">
        <f t="shared" si="5"/>
        <v>7581</v>
      </c>
      <c r="M39" s="145">
        <f t="shared" si="6"/>
        <v>-3981</v>
      </c>
      <c r="N39" s="145"/>
      <c r="P39" s="145">
        <f t="shared" si="7"/>
        <v>46800</v>
      </c>
      <c r="Q39" s="145"/>
      <c r="R39" s="145">
        <f t="shared" si="8"/>
        <v>39219</v>
      </c>
    </row>
    <row r="40" spans="1:18" s="144" customFormat="1" ht="12">
      <c r="A40" s="144" t="s">
        <v>364</v>
      </c>
      <c r="C40" s="145">
        <f>-'Month 1 OLD'!G23</f>
        <v>20000</v>
      </c>
      <c r="E40" s="145">
        <f t="shared" si="2"/>
        <v>20000</v>
      </c>
      <c r="G40" s="145">
        <f>'assumptions updated'!K22</f>
        <v>0</v>
      </c>
      <c r="H40" s="145">
        <f>-'Month 1 OLD'!C23</f>
        <v>2319</v>
      </c>
      <c r="I40" s="145">
        <f t="shared" si="3"/>
        <v>-2319</v>
      </c>
      <c r="J40" s="145"/>
      <c r="K40" s="145">
        <f t="shared" si="4"/>
        <v>0</v>
      </c>
      <c r="L40" s="145">
        <f t="shared" si="5"/>
        <v>2319</v>
      </c>
      <c r="M40" s="145">
        <f t="shared" si="6"/>
        <v>-2319</v>
      </c>
      <c r="N40" s="145"/>
      <c r="P40" s="145">
        <f t="shared" si="7"/>
        <v>20000</v>
      </c>
      <c r="Q40" s="145"/>
      <c r="R40" s="145">
        <f t="shared" si="8"/>
        <v>17681</v>
      </c>
    </row>
    <row r="41" spans="1:18" s="144" customFormat="1" ht="12">
      <c r="A41" s="144" t="s">
        <v>365</v>
      </c>
      <c r="C41" s="145">
        <f>-'Month 1 OLD'!G24</f>
        <v>203200</v>
      </c>
      <c r="E41" s="145">
        <f t="shared" si="2"/>
        <v>203200</v>
      </c>
      <c r="G41" s="145">
        <f>'assumptions updated'!K34+'assumptions updated'!K43+'assumptions updated'!K44</f>
        <v>15733.333333333334</v>
      </c>
      <c r="H41" s="145">
        <f>-'Month 1 OLD'!C24</f>
        <v>16987</v>
      </c>
      <c r="I41" s="145">
        <f t="shared" si="3"/>
        <v>-1253.6666666666661</v>
      </c>
      <c r="J41" s="145"/>
      <c r="K41" s="145">
        <f t="shared" si="4"/>
        <v>15733.333333333334</v>
      </c>
      <c r="L41" s="145">
        <f t="shared" si="5"/>
        <v>16987</v>
      </c>
      <c r="M41" s="145">
        <f t="shared" si="6"/>
        <v>-1253.6666666666661</v>
      </c>
      <c r="N41" s="145"/>
      <c r="P41" s="145">
        <f t="shared" si="7"/>
        <v>203200</v>
      </c>
      <c r="Q41" s="145"/>
      <c r="R41" s="145">
        <f t="shared" si="8"/>
        <v>186213</v>
      </c>
    </row>
    <row r="42" spans="1:18">
      <c r="A42" s="2" t="s">
        <v>293</v>
      </c>
      <c r="C42" s="143">
        <f>SUM(C32:C41)</f>
        <v>1245810</v>
      </c>
      <c r="D42" s="2"/>
      <c r="E42" s="143">
        <f>SUM(E32:E41)</f>
        <v>1245810</v>
      </c>
      <c r="F42" s="2"/>
      <c r="G42" s="143">
        <f>SUM(G32:G41)</f>
        <v>69367.5</v>
      </c>
      <c r="H42" s="143">
        <f>SUM(H32:H41)</f>
        <v>72772</v>
      </c>
      <c r="I42" s="143">
        <f t="shared" si="3"/>
        <v>-3404.5</v>
      </c>
      <c r="J42" s="142"/>
      <c r="K42" s="143">
        <f>SUM(K32:K41)</f>
        <v>69367.5</v>
      </c>
      <c r="L42" s="143">
        <f>SUM(L32:L41)</f>
        <v>72772</v>
      </c>
      <c r="M42" s="143">
        <f>K42-L42</f>
        <v>-3404.5</v>
      </c>
      <c r="N42" s="142"/>
      <c r="P42" s="143">
        <f>SUM(P32:P41)</f>
        <v>1141810</v>
      </c>
      <c r="Q42" s="142"/>
      <c r="R42" s="143">
        <f>SUM(R32:R41)</f>
        <v>1173038</v>
      </c>
    </row>
    <row r="43" spans="1:18">
      <c r="A43" s="2"/>
      <c r="C43" s="143"/>
      <c r="D43" s="2"/>
      <c r="E43" s="143"/>
      <c r="F43" s="2"/>
      <c r="G43" s="143"/>
      <c r="H43" s="143"/>
      <c r="I43" s="143"/>
      <c r="J43" s="142"/>
      <c r="K43" s="143"/>
      <c r="L43" s="143"/>
      <c r="M43" s="143"/>
      <c r="N43" s="142"/>
      <c r="P43" s="143"/>
      <c r="Q43" s="142"/>
    </row>
    <row r="44" spans="1:18">
      <c r="A44" s="2" t="s">
        <v>9</v>
      </c>
      <c r="C44" s="143"/>
      <c r="D44" s="2"/>
      <c r="E44" s="143"/>
      <c r="F44" s="2"/>
      <c r="G44" s="143"/>
      <c r="H44" s="143"/>
      <c r="I44" s="143"/>
      <c r="J44" s="142"/>
      <c r="K44" s="143"/>
      <c r="L44" s="143"/>
      <c r="M44" s="143"/>
      <c r="N44" s="142"/>
      <c r="P44" s="143"/>
      <c r="Q44" s="142"/>
    </row>
    <row r="45" spans="1:18">
      <c r="A45" t="s">
        <v>367</v>
      </c>
      <c r="C45" s="142">
        <v>100000</v>
      </c>
      <c r="E45" s="145">
        <f>C45</f>
        <v>100000</v>
      </c>
      <c r="G45" s="142">
        <v>8333.3330000000005</v>
      </c>
      <c r="H45" s="142">
        <v>8333.33</v>
      </c>
      <c r="I45" s="145">
        <f>G45-H45</f>
        <v>3.0000000006111804E-3</v>
      </c>
      <c r="J45" s="142"/>
      <c r="K45" s="145">
        <f>G45</f>
        <v>8333.3330000000005</v>
      </c>
      <c r="L45" s="145">
        <f>H45</f>
        <v>8333.33</v>
      </c>
      <c r="M45" s="145">
        <f>I45</f>
        <v>3.0000000006111804E-3</v>
      </c>
      <c r="N45" s="142"/>
      <c r="P45" s="145">
        <f>C45</f>
        <v>100000</v>
      </c>
      <c r="Q45" s="142"/>
      <c r="R45" s="145">
        <f>E45-H45</f>
        <v>91666.67</v>
      </c>
    </row>
    <row r="46" spans="1:18" s="2" customFormat="1">
      <c r="A46" s="2" t="s">
        <v>338</v>
      </c>
      <c r="C46" s="143">
        <f>C45</f>
        <v>100000</v>
      </c>
      <c r="E46" s="143">
        <f>E45</f>
        <v>100000</v>
      </c>
      <c r="G46" s="143">
        <f>G45</f>
        <v>8333.3330000000005</v>
      </c>
      <c r="H46" s="143">
        <f>H45</f>
        <v>8333.33</v>
      </c>
      <c r="I46" s="143">
        <f>G46-H46</f>
        <v>3.0000000006111804E-3</v>
      </c>
      <c r="J46" s="143"/>
      <c r="K46" s="143">
        <f>K45</f>
        <v>8333.3330000000005</v>
      </c>
      <c r="L46" s="143">
        <f>L45</f>
        <v>8333.33</v>
      </c>
      <c r="M46" s="143">
        <f>K46-L46</f>
        <v>3.0000000006111804E-3</v>
      </c>
      <c r="N46" s="143"/>
      <c r="P46" s="143">
        <f>P45</f>
        <v>100000</v>
      </c>
      <c r="Q46" s="143">
        <f>P46-C46</f>
        <v>0</v>
      </c>
      <c r="R46" s="143">
        <f>R45</f>
        <v>91666.67</v>
      </c>
    </row>
    <row r="47" spans="1:18">
      <c r="H47"/>
    </row>
    <row r="48" spans="1:18">
      <c r="A48" s="2" t="s">
        <v>354</v>
      </c>
      <c r="H48"/>
    </row>
    <row r="49" spans="1:18" s="144" customFormat="1" ht="12">
      <c r="A49" s="144" t="s">
        <v>366</v>
      </c>
      <c r="C49" s="145">
        <f>-'Month 1 OLD'!G25</f>
        <v>36000</v>
      </c>
      <c r="E49" s="145">
        <f>C49</f>
        <v>36000</v>
      </c>
      <c r="G49" s="145">
        <f>-'Month 1 OLD'!E25</f>
        <v>3000</v>
      </c>
      <c r="H49" s="145">
        <f>-'Month 1 OLD'!C25</f>
        <v>3000</v>
      </c>
      <c r="I49" s="145">
        <f>G49-H49</f>
        <v>0</v>
      </c>
      <c r="K49" s="145">
        <f>G49</f>
        <v>3000</v>
      </c>
      <c r="L49" s="145">
        <f>H49</f>
        <v>3000</v>
      </c>
      <c r="M49" s="145">
        <f>I49</f>
        <v>0</v>
      </c>
      <c r="P49" s="145">
        <f>C49</f>
        <v>36000</v>
      </c>
      <c r="R49" s="145">
        <f>E49-H49</f>
        <v>33000</v>
      </c>
    </row>
    <row r="50" spans="1:18">
      <c r="A50" s="2" t="s">
        <v>355</v>
      </c>
      <c r="C50" s="143">
        <f>C49</f>
        <v>36000</v>
      </c>
      <c r="D50" s="14"/>
      <c r="E50" s="143">
        <f>E49</f>
        <v>36000</v>
      </c>
      <c r="F50" s="14"/>
      <c r="G50" s="143">
        <f>G49</f>
        <v>3000</v>
      </c>
      <c r="H50" s="143">
        <f>H49</f>
        <v>3000</v>
      </c>
      <c r="I50" s="143">
        <f>I49</f>
        <v>0</v>
      </c>
      <c r="K50" s="143">
        <f>K49</f>
        <v>3000</v>
      </c>
      <c r="L50" s="143">
        <f>L49</f>
        <v>3000</v>
      </c>
      <c r="M50" s="143">
        <f>M49</f>
        <v>0</v>
      </c>
      <c r="P50" s="143">
        <f>P49</f>
        <v>36000</v>
      </c>
      <c r="R50" s="143">
        <f>R49</f>
        <v>33000</v>
      </c>
    </row>
    <row r="51" spans="1:18">
      <c r="H51"/>
    </row>
    <row r="52" spans="1:18">
      <c r="A52" s="2" t="s">
        <v>295</v>
      </c>
      <c r="C52" s="143">
        <f>C50+C42+C46</f>
        <v>1381810</v>
      </c>
      <c r="D52" s="143"/>
      <c r="E52" s="143">
        <f>E50+E42+E46</f>
        <v>1381810</v>
      </c>
      <c r="F52" s="143"/>
      <c r="G52" s="143">
        <f>G50+G42+G46</f>
        <v>80700.832999999999</v>
      </c>
      <c r="H52" s="143">
        <f>H50+H42+H46</f>
        <v>84105.33</v>
      </c>
      <c r="I52" s="143">
        <f>I50+I42+I46</f>
        <v>-3404.4969999999994</v>
      </c>
      <c r="K52" s="143">
        <f>K50+K42+K46</f>
        <v>80700.832999999999</v>
      </c>
      <c r="L52" s="143">
        <f>L50+L42+L46</f>
        <v>84105.33</v>
      </c>
      <c r="M52" s="143">
        <f>M50+M42+M46</f>
        <v>-3404.4969999999994</v>
      </c>
      <c r="P52" s="143">
        <f>P50+P42+P46</f>
        <v>1277810</v>
      </c>
      <c r="R52" s="143">
        <f>R50+R42+R46</f>
        <v>1297704.67</v>
      </c>
    </row>
    <row r="53" spans="1:18">
      <c r="H53"/>
    </row>
    <row r="54" spans="1:18">
      <c r="A54" s="2" t="s">
        <v>296</v>
      </c>
      <c r="C54" s="143">
        <f>C26+C52</f>
        <v>1997910</v>
      </c>
      <c r="D54" s="143"/>
      <c r="E54" s="143">
        <f>E26+E52</f>
        <v>1997910</v>
      </c>
      <c r="F54" s="143"/>
      <c r="G54" s="143">
        <f>G26+G52</f>
        <v>133027.13436986302</v>
      </c>
      <c r="H54" s="143">
        <f>H26+H52</f>
        <v>134692.33000000002</v>
      </c>
      <c r="I54" s="143">
        <f>I26+I52</f>
        <v>-1665.195630136983</v>
      </c>
      <c r="K54" s="143">
        <f>K26+K52</f>
        <v>133027.13436986302</v>
      </c>
      <c r="L54" s="143">
        <f>L26+L52</f>
        <v>134692.33000000002</v>
      </c>
      <c r="M54" s="143">
        <f>M26+M52</f>
        <v>-1665.195630136983</v>
      </c>
      <c r="P54" s="143">
        <f>P26+P52</f>
        <v>1893910</v>
      </c>
      <c r="R54" s="143">
        <f>R26+R52</f>
        <v>1863217.67</v>
      </c>
    </row>
    <row r="55" spans="1:18">
      <c r="C55" s="142"/>
      <c r="D55" s="142"/>
      <c r="E55" s="142"/>
      <c r="F55" s="142"/>
      <c r="G55" s="142"/>
      <c r="I55" s="142"/>
      <c r="K55" s="142"/>
      <c r="L55" s="142"/>
      <c r="M55" s="142"/>
      <c r="P55" s="142"/>
      <c r="R55" s="142"/>
    </row>
    <row r="56" spans="1:18" ht="14">
      <c r="C56" s="226" t="s">
        <v>292</v>
      </c>
      <c r="D56" s="2"/>
      <c r="E56" s="221" t="s">
        <v>285</v>
      </c>
      <c r="F56" s="2"/>
      <c r="G56" s="226" t="s">
        <v>287</v>
      </c>
      <c r="H56" s="226" t="s">
        <v>287</v>
      </c>
      <c r="I56" s="227" t="s">
        <v>287</v>
      </c>
      <c r="J56" s="135"/>
      <c r="K56" s="226" t="s">
        <v>290</v>
      </c>
      <c r="L56" s="226" t="s">
        <v>290</v>
      </c>
      <c r="M56" s="226" t="s">
        <v>290</v>
      </c>
      <c r="N56" s="135"/>
      <c r="O56" s="226" t="s">
        <v>373</v>
      </c>
      <c r="P56" s="142"/>
      <c r="R56" s="221" t="s">
        <v>373</v>
      </c>
    </row>
    <row r="57" spans="1:18">
      <c r="C57" s="226" t="s">
        <v>288</v>
      </c>
      <c r="D57" s="2"/>
      <c r="E57" s="221" t="s">
        <v>286</v>
      </c>
      <c r="F57" s="2"/>
      <c r="G57" s="226" t="s">
        <v>288</v>
      </c>
      <c r="H57" s="228" t="s">
        <v>347</v>
      </c>
      <c r="I57" s="226" t="s">
        <v>321</v>
      </c>
      <c r="J57" s="135"/>
      <c r="K57" s="226" t="s">
        <v>288</v>
      </c>
      <c r="L57" s="226" t="s">
        <v>186</v>
      </c>
      <c r="M57" s="226" t="s">
        <v>321</v>
      </c>
      <c r="N57" s="135"/>
      <c r="O57" s="226" t="s">
        <v>286</v>
      </c>
      <c r="P57" s="142"/>
      <c r="R57" s="221" t="s">
        <v>286</v>
      </c>
    </row>
    <row r="58" spans="1:18">
      <c r="C58" s="142"/>
      <c r="D58" s="142"/>
      <c r="E58" s="142"/>
      <c r="F58" s="142"/>
      <c r="G58" s="142"/>
      <c r="I58" s="142"/>
      <c r="K58" s="142"/>
      <c r="L58" s="142"/>
      <c r="M58" s="142"/>
      <c r="P58" s="142"/>
      <c r="R58" s="142"/>
    </row>
    <row r="59" spans="1:18">
      <c r="A59" s="2" t="s">
        <v>297</v>
      </c>
      <c r="B59" s="2"/>
      <c r="C59" s="143">
        <f>C54</f>
        <v>1997910</v>
      </c>
      <c r="D59" s="143"/>
      <c r="E59" s="143">
        <f>E54</f>
        <v>1997910</v>
      </c>
      <c r="F59" s="143"/>
      <c r="G59" s="143">
        <f>G54</f>
        <v>133027.13436986302</v>
      </c>
      <c r="H59" s="143">
        <f>H54</f>
        <v>134692.33000000002</v>
      </c>
      <c r="I59" s="143">
        <f>I54</f>
        <v>-1665.195630136983</v>
      </c>
      <c r="K59" s="143">
        <f>K54</f>
        <v>133027.13436986302</v>
      </c>
      <c r="L59" s="143">
        <f>L54</f>
        <v>134692.33000000002</v>
      </c>
      <c r="M59" s="143">
        <f>M54</f>
        <v>-1665.195630136983</v>
      </c>
      <c r="P59" s="143">
        <f>P54</f>
        <v>1893910</v>
      </c>
      <c r="R59" s="143">
        <f>R54</f>
        <v>1863217.67</v>
      </c>
    </row>
    <row r="60" spans="1:18">
      <c r="A60" s="2" t="s">
        <v>356</v>
      </c>
      <c r="B60" s="2"/>
    </row>
  </sheetData>
  <mergeCells count="4">
    <mergeCell ref="P3:R4"/>
    <mergeCell ref="P1:R1"/>
    <mergeCell ref="G5:I5"/>
    <mergeCell ref="K5:M5"/>
  </mergeCells>
  <phoneticPr fontId="16" type="noConversion"/>
  <pageMargins left="0.75" right="0.75" top="1" bottom="1" header="0.3" footer="0.3"/>
  <pageSetup paperSize="9" orientation="portrait" horizontalDpi="4294967292" verticalDpi="429496729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60"/>
  <sheetViews>
    <sheetView topLeftCell="A4" workbookViewId="0">
      <selection activeCell="A38" sqref="A38"/>
    </sheetView>
  </sheetViews>
  <sheetFormatPr baseColWidth="10" defaultColWidth="8.83203125" defaultRowHeight="13"/>
  <cols>
    <col min="2" max="2" width="29.1640625" customWidth="1"/>
    <col min="3" max="3" width="11.83203125" customWidth="1"/>
    <col min="4" max="4" width="1.6640625" customWidth="1"/>
    <col min="5" max="5" width="11.83203125" customWidth="1"/>
    <col min="6" max="6" width="1.6640625" customWidth="1"/>
    <col min="7" max="7" width="12.6640625" customWidth="1"/>
    <col min="8" max="8" width="12.6640625" style="142" customWidth="1"/>
    <col min="9" max="9" width="12.6640625" customWidth="1"/>
    <col min="10" max="10" width="1.6640625" customWidth="1"/>
    <col min="11" max="13" width="12.6640625" customWidth="1"/>
    <col min="14" max="14" width="1.6640625" hidden="1" customWidth="1"/>
    <col min="15" max="15" width="0" hidden="1" customWidth="1"/>
    <col min="16" max="16" width="14.5" hidden="1" customWidth="1"/>
    <col min="17" max="17" width="1.6640625" customWidth="1"/>
    <col min="18" max="18" width="10.6640625" customWidth="1"/>
  </cols>
  <sheetData>
    <row r="1" spans="1:18" ht="18">
      <c r="A1" s="81"/>
      <c r="G1" s="220"/>
      <c r="H1" s="220" t="s">
        <v>371</v>
      </c>
      <c r="I1" s="220"/>
      <c r="J1" s="220"/>
      <c r="K1" s="220"/>
      <c r="L1" s="220"/>
      <c r="M1" s="220"/>
      <c r="P1" s="692" t="s">
        <v>298</v>
      </c>
      <c r="Q1" s="692"/>
      <c r="R1" s="692"/>
    </row>
    <row r="2" spans="1:18" hidden="1"/>
    <row r="3" spans="1:18" ht="18">
      <c r="A3" s="67" t="s">
        <v>340</v>
      </c>
      <c r="G3" s="220"/>
      <c r="H3" s="220"/>
      <c r="I3" s="220"/>
      <c r="J3" s="220"/>
      <c r="K3" s="220"/>
      <c r="L3" s="220"/>
      <c r="M3" s="220"/>
      <c r="P3" s="691"/>
      <c r="Q3" s="691"/>
      <c r="R3" s="691"/>
    </row>
    <row r="4" spans="1:18">
      <c r="A4" s="2"/>
      <c r="P4" s="691"/>
      <c r="Q4" s="691"/>
      <c r="R4" s="691"/>
    </row>
    <row r="5" spans="1:18" ht="15" thickBot="1">
      <c r="G5" s="693" t="s">
        <v>378</v>
      </c>
      <c r="H5" s="693"/>
      <c r="I5" s="693"/>
      <c r="J5" s="230"/>
      <c r="K5" s="693" t="s">
        <v>378</v>
      </c>
      <c r="L5" s="693"/>
      <c r="M5" s="693"/>
    </row>
    <row r="6" spans="1:18" ht="14">
      <c r="C6" s="221" t="s">
        <v>292</v>
      </c>
      <c r="D6" s="2"/>
      <c r="E6" s="221" t="s">
        <v>285</v>
      </c>
      <c r="F6" s="2"/>
      <c r="G6" s="221" t="s">
        <v>287</v>
      </c>
      <c r="H6" s="221" t="s">
        <v>287</v>
      </c>
      <c r="I6" s="222" t="s">
        <v>287</v>
      </c>
      <c r="J6" s="135"/>
      <c r="K6" s="221" t="s">
        <v>290</v>
      </c>
      <c r="L6" s="221" t="s">
        <v>290</v>
      </c>
      <c r="M6" s="221" t="s">
        <v>290</v>
      </c>
      <c r="N6" s="2"/>
      <c r="O6" s="224" t="s">
        <v>292</v>
      </c>
      <c r="P6" s="225" t="s">
        <v>348</v>
      </c>
      <c r="Q6" s="135"/>
      <c r="R6" s="221" t="s">
        <v>373</v>
      </c>
    </row>
    <row r="7" spans="1:18" ht="14" thickBot="1">
      <c r="C7" s="221" t="s">
        <v>288</v>
      </c>
      <c r="D7" s="2"/>
      <c r="E7" s="221" t="s">
        <v>286</v>
      </c>
      <c r="F7" s="2"/>
      <c r="G7" s="221" t="s">
        <v>288</v>
      </c>
      <c r="H7" s="223" t="s">
        <v>347</v>
      </c>
      <c r="I7" s="221" t="s">
        <v>321</v>
      </c>
      <c r="J7" s="135"/>
      <c r="K7" s="221" t="s">
        <v>288</v>
      </c>
      <c r="L7" s="221" t="s">
        <v>186</v>
      </c>
      <c r="M7" s="221" t="s">
        <v>321</v>
      </c>
      <c r="N7" s="2"/>
      <c r="O7" s="180" t="s">
        <v>288</v>
      </c>
      <c r="P7" s="181" t="s">
        <v>288</v>
      </c>
      <c r="Q7" s="135"/>
      <c r="R7" s="221" t="s">
        <v>286</v>
      </c>
    </row>
    <row r="8" spans="1:18" hidden="1"/>
    <row r="9" spans="1:18" hidden="1"/>
    <row r="10" spans="1:18" hidden="1">
      <c r="A10" s="67"/>
    </row>
    <row r="11" spans="1:18" ht="14" hidden="1">
      <c r="A11" s="141" t="s">
        <v>341</v>
      </c>
    </row>
    <row r="12" spans="1:18" ht="14" hidden="1">
      <c r="A12" s="140" t="s">
        <v>25</v>
      </c>
    </row>
    <row r="13" spans="1:18" ht="14">
      <c r="A13" s="140" t="s">
        <v>374</v>
      </c>
    </row>
    <row r="14" spans="1:18" s="144" customFormat="1" ht="12">
      <c r="A14" s="144" t="s">
        <v>349</v>
      </c>
      <c r="C14" s="145">
        <f>-G14/$G$26*'Month 1 OLD'!$G$13</f>
        <v>481624.32692307694</v>
      </c>
      <c r="E14" s="145">
        <f>'Month 1 rv'!R14</f>
        <v>442078.91250000003</v>
      </c>
      <c r="G14" s="145">
        <f>'cashflow updated'!H21/-1.2*48/52+'cashflow updated'!H21/-1.2*0.015</f>
        <v>40905.07982086407</v>
      </c>
      <c r="H14" s="145">
        <f>-'Month 2 OLD'!$C$13*'Month 2 rv'!G14/'Month 2 rv'!$G$26</f>
        <v>40335.744230769233</v>
      </c>
      <c r="I14" s="145">
        <f>G14-H14</f>
        <v>569.33559009483724</v>
      </c>
      <c r="K14" s="145">
        <f>G14+'Month 1 rv'!K14</f>
        <v>81810.15964172814</v>
      </c>
      <c r="L14" s="145">
        <f>H14+'Month 1 rv'!L14</f>
        <v>79881.158653846156</v>
      </c>
      <c r="M14" s="145">
        <f>K14-L14</f>
        <v>1929.0009878819837</v>
      </c>
      <c r="P14" s="145">
        <f>C14</f>
        <v>481624.32692307694</v>
      </c>
      <c r="R14" s="145">
        <f>E14-H14</f>
        <v>401743.16826923081</v>
      </c>
    </row>
    <row r="15" spans="1:18" s="144" customFormat="1" ht="12">
      <c r="A15" s="144" t="s">
        <v>350</v>
      </c>
      <c r="C15" s="145">
        <f>-G15/$G$26*'Month 1 OLD'!$G$13</f>
        <v>0</v>
      </c>
      <c r="E15" s="145">
        <f>'Month 1 rv'!R15</f>
        <v>0</v>
      </c>
      <c r="G15" s="145">
        <v>0</v>
      </c>
      <c r="H15" s="145">
        <f>-'Month 2 OLD'!$C$13*'Month 2 rv'!G15/'Month 2 rv'!$G$26</f>
        <v>0</v>
      </c>
      <c r="I15" s="145">
        <f>G15-H15</f>
        <v>0</v>
      </c>
      <c r="K15" s="145">
        <f>G15+'Month 1 rv'!K15</f>
        <v>0</v>
      </c>
      <c r="L15" s="145">
        <f>H15+'Month 1 rv'!L15</f>
        <v>0</v>
      </c>
      <c r="M15" s="145">
        <f>K15-L15</f>
        <v>0</v>
      </c>
      <c r="P15" s="145">
        <f>C15</f>
        <v>0</v>
      </c>
      <c r="R15" s="145">
        <f>E15-H15</f>
        <v>0</v>
      </c>
    </row>
    <row r="16" spans="1:18" s="144" customFormat="1">
      <c r="A16" s="2" t="s">
        <v>343</v>
      </c>
      <c r="C16" s="164">
        <f>SUM(C14:C15)</f>
        <v>481624.32692307694</v>
      </c>
      <c r="E16" s="164">
        <f>SUM(E14:E15)</f>
        <v>442078.91250000003</v>
      </c>
      <c r="G16" s="164">
        <f>SUM(G14:G15)</f>
        <v>40905.07982086407</v>
      </c>
      <c r="H16" s="164">
        <f>SUM(H14:H15)</f>
        <v>40335.744230769233</v>
      </c>
      <c r="I16" s="164">
        <f>SUM(I14:I15)</f>
        <v>569.33559009483724</v>
      </c>
      <c r="J16" s="152"/>
      <c r="K16" s="164">
        <f>SUM(K14:K15)</f>
        <v>81810.15964172814</v>
      </c>
      <c r="L16" s="164">
        <f>SUM(L14:L15)</f>
        <v>79881.158653846156</v>
      </c>
      <c r="M16" s="164">
        <f>SUM(M14:M15)</f>
        <v>1929.0009878819837</v>
      </c>
      <c r="N16" s="152"/>
      <c r="P16" s="164">
        <f>SUM(P14:P15)</f>
        <v>481624.32692307694</v>
      </c>
      <c r="Q16" s="152"/>
      <c r="R16" s="164">
        <f>SUM(R14:R15)</f>
        <v>401743.16826923081</v>
      </c>
    </row>
    <row r="17" spans="1:18" s="144" customFormat="1" ht="12">
      <c r="C17" s="145"/>
      <c r="E17" s="145"/>
      <c r="G17" s="145"/>
      <c r="H17" s="145"/>
      <c r="I17" s="145"/>
      <c r="K17" s="145"/>
      <c r="L17" s="145"/>
      <c r="M17" s="145"/>
      <c r="P17" s="145"/>
      <c r="R17" s="145"/>
    </row>
    <row r="18" spans="1:18" s="144" customFormat="1" ht="12">
      <c r="A18" s="152" t="s">
        <v>344</v>
      </c>
      <c r="C18" s="145"/>
      <c r="E18" s="145"/>
      <c r="G18" s="145"/>
      <c r="H18" s="145"/>
      <c r="I18" s="145"/>
      <c r="K18" s="145"/>
      <c r="L18" s="145"/>
      <c r="M18" s="145"/>
      <c r="P18" s="145"/>
      <c r="R18" s="145"/>
    </row>
    <row r="19" spans="1:18" s="144" customFormat="1" ht="12">
      <c r="A19" s="144" t="s">
        <v>351</v>
      </c>
      <c r="C19" s="145">
        <f>-G19/$G$26*'Month 1 OLD'!$G$13</f>
        <v>39493.589743589742</v>
      </c>
      <c r="E19" s="145">
        <f>'Month 1 rv'!R19</f>
        <v>36250.833333333336</v>
      </c>
      <c r="G19" s="145">
        <f>'cashflow updated'!H21/-1.2*4/52</f>
        <v>3354.2500878117312</v>
      </c>
      <c r="H19" s="145">
        <f>-'Month 2 OLD'!$C$13*'Month 2 rv'!G19/'Month 2 rv'!$G$26</f>
        <v>3307.5641025641021</v>
      </c>
      <c r="I19" s="145">
        <f>G19-H19</f>
        <v>46.685985247629105</v>
      </c>
      <c r="K19" s="145">
        <f>G19+'Month 1 rv'!K19</f>
        <v>6708.5001756234624</v>
      </c>
      <c r="L19" s="145">
        <f>H19+'Month 1 rv'!L19</f>
        <v>6550.3205128205118</v>
      </c>
      <c r="M19" s="145">
        <f>K19-L19</f>
        <v>158.17966280295059</v>
      </c>
      <c r="P19" s="145">
        <f>C19</f>
        <v>39493.589743589742</v>
      </c>
      <c r="R19" s="145">
        <f>E19-H19</f>
        <v>32943.269230769234</v>
      </c>
    </row>
    <row r="20" spans="1:18" s="144" customFormat="1" ht="12">
      <c r="A20" s="144" t="s">
        <v>352</v>
      </c>
      <c r="C20" s="145">
        <f>-G20/$G$26*'Month 1 OLD'!$G$13</f>
        <v>20536.666666666668</v>
      </c>
      <c r="E20" s="145">
        <f>'Month 1 rv'!R20</f>
        <v>18850.433333333334</v>
      </c>
      <c r="G20" s="145">
        <f>'cashflow updated'!H21/-1.2*0.04</f>
        <v>1744.2100456621004</v>
      </c>
      <c r="H20" s="145">
        <f>-'Month 2 OLD'!$C$13*'Month 2 rv'!G20/'Month 2 rv'!$G$26</f>
        <v>1719.9333333333332</v>
      </c>
      <c r="I20" s="145">
        <f>G20-H20</f>
        <v>24.276712328767189</v>
      </c>
      <c r="K20" s="145">
        <f>G20+'Month 1 rv'!K20</f>
        <v>3488.4200913242007</v>
      </c>
      <c r="L20" s="145">
        <f>H20+'Month 1 rv'!L20</f>
        <v>3406.1666666666661</v>
      </c>
      <c r="M20" s="145">
        <f>K20-L20</f>
        <v>82.253424657534651</v>
      </c>
      <c r="P20" s="145">
        <f>C20</f>
        <v>20536.666666666668</v>
      </c>
      <c r="R20" s="145">
        <f>E20-H20</f>
        <v>17130.5</v>
      </c>
    </row>
    <row r="21" spans="1:18" s="144" customFormat="1" ht="12">
      <c r="A21" s="144" t="s">
        <v>357</v>
      </c>
      <c r="C21" s="145">
        <f>-G21/$G$26*'Month 1 OLD'!$G$13</f>
        <v>28237.916666666664</v>
      </c>
      <c r="E21" s="145">
        <f>'Month 1 rv'!R21</f>
        <v>25919.345833333333</v>
      </c>
      <c r="G21" s="145">
        <f>'cashflow updated'!H21/-1.2*0.055</f>
        <v>2398.288812785388</v>
      </c>
      <c r="H21" s="145">
        <f>-'Month 2 OLD'!$C$13*'Month 2 rv'!G21/'Month 2 rv'!$G$26</f>
        <v>2364.9083333333328</v>
      </c>
      <c r="I21" s="145">
        <f>G21-H21</f>
        <v>33.38047945205517</v>
      </c>
      <c r="K21" s="145">
        <f>G21+'Month 1 rv'!K21</f>
        <v>4796.577625570776</v>
      </c>
      <c r="L21" s="145">
        <f>H21+'Month 1 rv'!L21</f>
        <v>4683.4791666666661</v>
      </c>
      <c r="M21" s="145">
        <f>K21-L21</f>
        <v>113.09845890410998</v>
      </c>
      <c r="P21" s="145">
        <f>C21</f>
        <v>28237.916666666664</v>
      </c>
      <c r="R21" s="145">
        <f>E21-H21</f>
        <v>23554.4375</v>
      </c>
    </row>
    <row r="22" spans="1:18" s="144" customFormat="1" ht="12">
      <c r="A22" s="144" t="s">
        <v>353</v>
      </c>
      <c r="C22" s="145">
        <f>-G22/$G$26*'Month 1 OLD'!$G$13</f>
        <v>46207.499999999993</v>
      </c>
      <c r="E22" s="145">
        <f>'Month 1 rv'!R22</f>
        <v>42413.474999999991</v>
      </c>
      <c r="G22" s="145">
        <f>'cashflow updated'!H21/-1.2*0.09</f>
        <v>3924.4726027397255</v>
      </c>
      <c r="H22" s="145">
        <f>-'Month 2 OLD'!$C$13*'Month 2 rv'!G22/'Month 2 rv'!$G$26</f>
        <v>3869.8499999999995</v>
      </c>
      <c r="I22" s="145">
        <f>G22-H22</f>
        <v>54.622602739726062</v>
      </c>
      <c r="K22" s="145">
        <f>G22+'Month 1 rv'!K22</f>
        <v>7848.945205479451</v>
      </c>
      <c r="L22" s="145">
        <f>H22+'Month 1 rv'!L22</f>
        <v>7663.8749999999982</v>
      </c>
      <c r="M22" s="145">
        <f>K22-L22</f>
        <v>185.07020547945285</v>
      </c>
      <c r="P22" s="145">
        <f>C22</f>
        <v>46207.499999999993</v>
      </c>
      <c r="R22" s="145">
        <f>E22-H22</f>
        <v>38543.624999999993</v>
      </c>
    </row>
    <row r="23" spans="1:18" s="144" customFormat="1" ht="12">
      <c r="C23" s="145"/>
      <c r="E23" s="145"/>
      <c r="G23" s="145"/>
      <c r="H23" s="145"/>
      <c r="I23" s="145"/>
      <c r="K23" s="145"/>
      <c r="L23" s="145"/>
      <c r="M23" s="145"/>
      <c r="P23" s="145"/>
      <c r="R23" s="145"/>
    </row>
    <row r="24" spans="1:18" s="144" customFormat="1">
      <c r="A24" s="2" t="s">
        <v>345</v>
      </c>
      <c r="C24" s="164">
        <f>SUM(C19:C22)</f>
        <v>134475.67307692306</v>
      </c>
      <c r="E24" s="164">
        <f>SUM(E19:E22)</f>
        <v>123434.08749999999</v>
      </c>
      <c r="G24" s="164">
        <f>SUM(G19:G22)</f>
        <v>11421.221548998947</v>
      </c>
      <c r="H24" s="164">
        <f>SUM(H19:H22)</f>
        <v>11262.255769230767</v>
      </c>
      <c r="I24" s="164">
        <f>SUM(I19:I22)</f>
        <v>158.96577976817753</v>
      </c>
      <c r="J24" s="152"/>
      <c r="K24" s="164">
        <f>SUM(K19:K22)</f>
        <v>22842.443097997893</v>
      </c>
      <c r="L24" s="164">
        <f>SUM(L19:L22)</f>
        <v>22303.841346153844</v>
      </c>
      <c r="M24" s="164">
        <f>SUM(M19:M22)</f>
        <v>538.60175184404807</v>
      </c>
      <c r="N24" s="152"/>
      <c r="P24" s="164">
        <f>SUM(P19:P22)</f>
        <v>134475.67307692306</v>
      </c>
      <c r="Q24" s="152"/>
      <c r="R24" s="164">
        <f>SUM(R19:R22)</f>
        <v>112171.83173076922</v>
      </c>
    </row>
    <row r="25" spans="1:18" s="144" customFormat="1">
      <c r="A25" s="2"/>
      <c r="C25" s="145"/>
      <c r="E25" s="145"/>
      <c r="G25" s="145"/>
      <c r="H25" s="145"/>
      <c r="I25" s="145"/>
      <c r="K25" s="145"/>
      <c r="L25" s="145"/>
      <c r="M25" s="145"/>
      <c r="P25" s="145"/>
      <c r="R25" s="145"/>
    </row>
    <row r="26" spans="1:18">
      <c r="A26" s="2" t="s">
        <v>346</v>
      </c>
      <c r="C26" s="143">
        <f>C16+C24</f>
        <v>616100</v>
      </c>
      <c r="E26" s="143">
        <f>E16+E24</f>
        <v>565513</v>
      </c>
      <c r="G26" s="143">
        <f>G16+G24</f>
        <v>52326.301369863017</v>
      </c>
      <c r="H26" s="143">
        <f>H16+H24</f>
        <v>51598</v>
      </c>
      <c r="I26" s="143">
        <f>I16+I24</f>
        <v>728.30136986301477</v>
      </c>
      <c r="K26" s="143">
        <f>K16+K24</f>
        <v>104652.60273972603</v>
      </c>
      <c r="L26" s="143">
        <f>L16+L24</f>
        <v>102185</v>
      </c>
      <c r="M26" s="143">
        <f>M16+M24</f>
        <v>2467.6027397260318</v>
      </c>
      <c r="P26" s="143">
        <f>P16+P24</f>
        <v>616100</v>
      </c>
      <c r="R26" s="143">
        <f>R16+R24</f>
        <v>513915</v>
      </c>
    </row>
    <row r="28" spans="1:18" ht="14">
      <c r="C28" s="221" t="s">
        <v>292</v>
      </c>
      <c r="D28" s="2"/>
      <c r="E28" s="221" t="s">
        <v>285</v>
      </c>
      <c r="F28" s="2"/>
      <c r="G28" s="221" t="s">
        <v>287</v>
      </c>
      <c r="H28" s="221" t="s">
        <v>287</v>
      </c>
      <c r="I28" s="222" t="s">
        <v>287</v>
      </c>
      <c r="J28" s="135"/>
      <c r="K28" s="221" t="s">
        <v>290</v>
      </c>
      <c r="L28" s="221" t="s">
        <v>290</v>
      </c>
      <c r="M28" s="221" t="s">
        <v>290</v>
      </c>
      <c r="N28" s="2"/>
      <c r="O28" s="224" t="s">
        <v>292</v>
      </c>
      <c r="P28" s="225" t="s">
        <v>348</v>
      </c>
      <c r="Q28" s="135"/>
      <c r="R28" s="221" t="s">
        <v>373</v>
      </c>
    </row>
    <row r="29" spans="1:18" ht="14" thickBot="1">
      <c r="C29" s="221" t="s">
        <v>288</v>
      </c>
      <c r="D29" s="2"/>
      <c r="E29" s="221" t="s">
        <v>286</v>
      </c>
      <c r="F29" s="2"/>
      <c r="G29" s="221" t="s">
        <v>288</v>
      </c>
      <c r="H29" s="223" t="s">
        <v>347</v>
      </c>
      <c r="I29" s="221" t="s">
        <v>321</v>
      </c>
      <c r="J29" s="135"/>
      <c r="K29" s="221" t="s">
        <v>288</v>
      </c>
      <c r="L29" s="221" t="s">
        <v>186</v>
      </c>
      <c r="M29" s="221" t="s">
        <v>321</v>
      </c>
      <c r="N29" s="2"/>
      <c r="O29" s="180" t="s">
        <v>288</v>
      </c>
      <c r="P29" s="181" t="s">
        <v>288</v>
      </c>
      <c r="Q29" s="135"/>
      <c r="R29" s="221" t="s">
        <v>286</v>
      </c>
    </row>
    <row r="30" spans="1:18" ht="14">
      <c r="A30" s="140" t="s">
        <v>375</v>
      </c>
    </row>
    <row r="31" spans="1:18">
      <c r="A31" s="2" t="s">
        <v>376</v>
      </c>
    </row>
    <row r="32" spans="1:18" s="144" customFormat="1" ht="12">
      <c r="A32" s="144" t="s">
        <v>360</v>
      </c>
      <c r="C32" s="145">
        <f>-'Month 1 OLD'!G15</f>
        <v>45000</v>
      </c>
      <c r="E32" s="145">
        <f>'Month 1 rv'!R32</f>
        <v>45000</v>
      </c>
      <c r="G32" s="145">
        <f>'assumptions updated'!L17</f>
        <v>11250</v>
      </c>
      <c r="H32" s="145">
        <f>-'Month 2 OLD'!C15</f>
        <v>11500</v>
      </c>
      <c r="I32" s="145">
        <f t="shared" ref="I32:I42" si="0">G32-H32</f>
        <v>-250</v>
      </c>
      <c r="J32" s="145"/>
      <c r="K32" s="145">
        <f>G32+'Month 1 rv'!K32</f>
        <v>11250</v>
      </c>
      <c r="L32" s="145">
        <f>H32+'Month 1 rv'!L32</f>
        <v>11500</v>
      </c>
      <c r="M32" s="145">
        <f t="shared" ref="M32:M42" si="1">K32-L32</f>
        <v>-250</v>
      </c>
      <c r="N32" s="145"/>
      <c r="P32" s="145">
        <f t="shared" ref="P32:P41" si="2">C32</f>
        <v>45000</v>
      </c>
      <c r="Q32" s="145"/>
      <c r="R32" s="145">
        <f>E32-H32</f>
        <v>33500</v>
      </c>
    </row>
    <row r="33" spans="1:18" s="144" customFormat="1" ht="12">
      <c r="A33" s="144" t="s">
        <v>361</v>
      </c>
      <c r="C33" s="145">
        <f>-'Month 1 OLD'!G16</f>
        <v>91610</v>
      </c>
      <c r="E33" s="145">
        <f>'Month 1 rv'!R33</f>
        <v>83810</v>
      </c>
      <c r="G33" s="145">
        <f>'assumptions updated'!L19+'assumptions updated'!L23</f>
        <v>7634.166666666667</v>
      </c>
      <c r="H33" s="145">
        <f>-'Month 2 OLD'!C16</f>
        <v>8109</v>
      </c>
      <c r="I33" s="145">
        <f t="shared" si="0"/>
        <v>-474.83333333333303</v>
      </c>
      <c r="J33" s="145"/>
      <c r="K33" s="145">
        <f>G33+'Month 1 rv'!K33</f>
        <v>15268.333333333334</v>
      </c>
      <c r="L33" s="145">
        <f>H33+'Month 1 rv'!L33</f>
        <v>15909</v>
      </c>
      <c r="M33" s="145">
        <f t="shared" si="1"/>
        <v>-640.66666666666606</v>
      </c>
      <c r="N33" s="145"/>
      <c r="P33" s="145">
        <f t="shared" si="2"/>
        <v>91610</v>
      </c>
      <c r="Q33" s="145"/>
      <c r="R33" s="145">
        <f t="shared" ref="R33:R41" si="3">E33-H33</f>
        <v>75701</v>
      </c>
    </row>
    <row r="34" spans="1:18" s="144" customFormat="1" ht="12">
      <c r="A34" s="144" t="s">
        <v>362</v>
      </c>
      <c r="C34" s="145">
        <f>-'Month 1 OLD'!G17</f>
        <v>395200</v>
      </c>
      <c r="E34" s="145">
        <f>'Month 1 rv'!R34</f>
        <v>366806</v>
      </c>
      <c r="G34" s="145">
        <f>'assumptions updated'!L26+'assumptions updated'!L27+'assumptions updated'!L28</f>
        <v>30400</v>
      </c>
      <c r="H34" s="145">
        <f>-'Month 2 OLD'!C17</f>
        <v>30567</v>
      </c>
      <c r="I34" s="145">
        <f t="shared" si="0"/>
        <v>-167</v>
      </c>
      <c r="J34" s="145"/>
      <c r="K34" s="145">
        <f>G34+'Month 1 rv'!K34</f>
        <v>60800</v>
      </c>
      <c r="L34" s="145">
        <f>H34+'Month 1 rv'!L34</f>
        <v>58961</v>
      </c>
      <c r="M34" s="145">
        <f t="shared" si="1"/>
        <v>1839</v>
      </c>
      <c r="N34" s="145"/>
      <c r="P34" s="145">
        <f t="shared" si="2"/>
        <v>395200</v>
      </c>
      <c r="Q34" s="145"/>
      <c r="R34" s="145">
        <f t="shared" si="3"/>
        <v>336239</v>
      </c>
    </row>
    <row r="35" spans="1:18" s="144" customFormat="1" ht="12">
      <c r="A35" s="144" t="s">
        <v>363</v>
      </c>
      <c r="C35" s="145">
        <f>-'Month 1 OLD'!G18</f>
        <v>72000</v>
      </c>
      <c r="E35" s="145">
        <f>'Month 1 rv'!R35</f>
        <v>65711</v>
      </c>
      <c r="G35" s="145">
        <f>'assumptions updated'!L35</f>
        <v>6000</v>
      </c>
      <c r="H35" s="145">
        <f>-'Month 2 OLD'!C18</f>
        <v>6345</v>
      </c>
      <c r="I35" s="145">
        <f t="shared" si="0"/>
        <v>-345</v>
      </c>
      <c r="J35" s="145"/>
      <c r="K35" s="145">
        <f>G35+'Month 1 rv'!K35</f>
        <v>12000</v>
      </c>
      <c r="L35" s="145">
        <f>H35+'Month 1 rv'!L35</f>
        <v>12634</v>
      </c>
      <c r="M35" s="145">
        <f t="shared" si="1"/>
        <v>-634</v>
      </c>
      <c r="N35" s="145"/>
      <c r="P35" s="145">
        <f t="shared" si="2"/>
        <v>72000</v>
      </c>
      <c r="Q35" s="145"/>
      <c r="R35" s="145">
        <f t="shared" si="3"/>
        <v>59366</v>
      </c>
    </row>
    <row r="36" spans="1:18" s="144" customFormat="1" ht="12">
      <c r="A36" s="144" t="s">
        <v>359</v>
      </c>
      <c r="C36" s="145">
        <f>-'Month 1 OLD'!G19</f>
        <v>168000</v>
      </c>
      <c r="E36" s="145">
        <f>'Month 1 rv'!R36</f>
        <v>164598</v>
      </c>
      <c r="G36" s="145">
        <f>'assumptions updated'!L36+'assumptions updated'!L37+'assumptions updated'!L38+'assumptions updated'!L39+'assumptions updated'!L40+'assumptions updated'!L41</f>
        <v>3000</v>
      </c>
      <c r="H36" s="145">
        <f>-'Month 2 OLD'!C19</f>
        <v>16021</v>
      </c>
      <c r="I36" s="145">
        <f t="shared" si="0"/>
        <v>-13021</v>
      </c>
      <c r="J36" s="145"/>
      <c r="K36" s="145">
        <f>G36+'Month 1 rv'!K36</f>
        <v>6000</v>
      </c>
      <c r="L36" s="145">
        <f>H36+'Month 1 rv'!L36</f>
        <v>19423</v>
      </c>
      <c r="M36" s="145">
        <f t="shared" si="1"/>
        <v>-13423</v>
      </c>
      <c r="N36" s="145"/>
      <c r="P36" s="145">
        <f t="shared" si="2"/>
        <v>168000</v>
      </c>
      <c r="Q36" s="145"/>
      <c r="R36" s="145">
        <f t="shared" si="3"/>
        <v>148577</v>
      </c>
    </row>
    <row r="37" spans="1:18" s="144" customFormat="1" ht="12">
      <c r="A37" s="144" t="s">
        <v>432</v>
      </c>
      <c r="C37" s="145">
        <f>-'Month 1 OLD'!G20</f>
        <v>104000</v>
      </c>
      <c r="E37" s="145">
        <f>'Month 1 rv'!R37</f>
        <v>104000</v>
      </c>
      <c r="G37" s="145">
        <f>'assumptions updated'!L20+'assumptions updated'!L21</f>
        <v>17333.333333333336</v>
      </c>
      <c r="H37" s="145">
        <f>-'Month 2 OLD'!C20</f>
        <v>18121.599999999999</v>
      </c>
      <c r="I37" s="145">
        <f t="shared" si="0"/>
        <v>-788.26666666666279</v>
      </c>
      <c r="J37" s="145"/>
      <c r="K37" s="145">
        <f>G37+'Month 1 rv'!K37</f>
        <v>17333.333333333336</v>
      </c>
      <c r="L37" s="145">
        <f>H37+'Month 1 rv'!L37</f>
        <v>18121.599999999999</v>
      </c>
      <c r="M37" s="145">
        <f t="shared" si="1"/>
        <v>-788.26666666666279</v>
      </c>
      <c r="N37" s="145"/>
      <c r="P37" s="145"/>
      <c r="Q37" s="145"/>
      <c r="R37" s="145">
        <f t="shared" si="3"/>
        <v>85878.399999999994</v>
      </c>
    </row>
    <row r="38" spans="1:18" s="144" customFormat="1" ht="12">
      <c r="A38" s="144" t="s">
        <v>657</v>
      </c>
      <c r="C38" s="145">
        <f>-'Month 1 OLD'!G21</f>
        <v>100000</v>
      </c>
      <c r="E38" s="145">
        <f>'Month 1 rv'!R38</f>
        <v>100000</v>
      </c>
      <c r="G38" s="145">
        <f>'assumptions updated'!L18</f>
        <v>3000</v>
      </c>
      <c r="H38" s="145">
        <f>-'Month 2 OLD'!C21</f>
        <v>0</v>
      </c>
      <c r="I38" s="145">
        <f t="shared" si="0"/>
        <v>3000</v>
      </c>
      <c r="J38" s="145"/>
      <c r="K38" s="145">
        <f>G38+'Month 1 rv'!K38</f>
        <v>6000</v>
      </c>
      <c r="L38" s="145">
        <f>H38+'Month 1 rv'!L38</f>
        <v>0</v>
      </c>
      <c r="M38" s="145">
        <f t="shared" si="1"/>
        <v>6000</v>
      </c>
      <c r="N38" s="145"/>
      <c r="P38" s="145">
        <f t="shared" si="2"/>
        <v>100000</v>
      </c>
      <c r="Q38" s="145"/>
      <c r="R38" s="145">
        <f t="shared" si="3"/>
        <v>100000</v>
      </c>
    </row>
    <row r="39" spans="1:18" s="144" customFormat="1" ht="12">
      <c r="A39" s="144" t="s">
        <v>358</v>
      </c>
      <c r="C39" s="145">
        <f>-'Month 1 OLD'!G22</f>
        <v>46800</v>
      </c>
      <c r="E39" s="145">
        <f>'Month 1 rv'!R39</f>
        <v>39219</v>
      </c>
      <c r="G39" s="145">
        <f>'assumptions updated'!L33</f>
        <v>3600</v>
      </c>
      <c r="H39" s="145">
        <f>-'Month 2 OLD'!C22</f>
        <v>7501</v>
      </c>
      <c r="I39" s="145">
        <f t="shared" si="0"/>
        <v>-3901</v>
      </c>
      <c r="J39" s="145"/>
      <c r="K39" s="145">
        <f>G39+'Month 1 rv'!K39</f>
        <v>7200</v>
      </c>
      <c r="L39" s="145">
        <f>H39+'Month 1 rv'!L39</f>
        <v>15082</v>
      </c>
      <c r="M39" s="145">
        <f t="shared" si="1"/>
        <v>-7882</v>
      </c>
      <c r="N39" s="145"/>
      <c r="P39" s="145">
        <f t="shared" si="2"/>
        <v>46800</v>
      </c>
      <c r="Q39" s="145"/>
      <c r="R39" s="145">
        <f t="shared" si="3"/>
        <v>31718</v>
      </c>
    </row>
    <row r="40" spans="1:18" s="144" customFormat="1" ht="12">
      <c r="A40" s="144" t="s">
        <v>364</v>
      </c>
      <c r="C40" s="145">
        <f>-'Month 1 OLD'!G23</f>
        <v>20000</v>
      </c>
      <c r="E40" s="145">
        <f>'Month 1 rv'!R40</f>
        <v>17681</v>
      </c>
      <c r="G40" s="145">
        <f>'assumptions updated'!L22</f>
        <v>5000</v>
      </c>
      <c r="H40" s="145">
        <f>-'Month 2 OLD'!C23</f>
        <v>1120</v>
      </c>
      <c r="I40" s="145">
        <f t="shared" si="0"/>
        <v>3880</v>
      </c>
      <c r="J40" s="145"/>
      <c r="K40" s="145">
        <f>G40+'Month 1 rv'!K40</f>
        <v>5000</v>
      </c>
      <c r="L40" s="145">
        <f>H40+'Month 1 rv'!L40</f>
        <v>3439</v>
      </c>
      <c r="M40" s="145">
        <f t="shared" si="1"/>
        <v>1561</v>
      </c>
      <c r="N40" s="145"/>
      <c r="P40" s="145">
        <f t="shared" si="2"/>
        <v>20000</v>
      </c>
      <c r="Q40" s="145"/>
      <c r="R40" s="145">
        <f t="shared" si="3"/>
        <v>16561</v>
      </c>
    </row>
    <row r="41" spans="1:18" s="144" customFormat="1" ht="12">
      <c r="A41" s="144" t="s">
        <v>365</v>
      </c>
      <c r="C41" s="145">
        <f>-'Month 1 OLD'!G24</f>
        <v>203200</v>
      </c>
      <c r="E41" s="145">
        <f>'Month 1 rv'!R41</f>
        <v>186213</v>
      </c>
      <c r="G41" s="145">
        <f>'assumptions updated'!L34+'assumptions updated'!L43+'assumptions updated'!L44</f>
        <v>15733.333333333334</v>
      </c>
      <c r="H41" s="145">
        <f>-'Month 2 OLD'!C24</f>
        <v>15890</v>
      </c>
      <c r="I41" s="145">
        <f t="shared" si="0"/>
        <v>-156.66666666666606</v>
      </c>
      <c r="J41" s="145"/>
      <c r="K41" s="145">
        <f>G41+'Month 1 rv'!K41</f>
        <v>31466.666666666668</v>
      </c>
      <c r="L41" s="145">
        <f>H41+'Month 1 rv'!L41</f>
        <v>32877</v>
      </c>
      <c r="M41" s="145">
        <f t="shared" si="1"/>
        <v>-1410.3333333333321</v>
      </c>
      <c r="N41" s="145"/>
      <c r="P41" s="145">
        <f t="shared" si="2"/>
        <v>203200</v>
      </c>
      <c r="Q41" s="145"/>
      <c r="R41" s="145">
        <f t="shared" si="3"/>
        <v>170323</v>
      </c>
    </row>
    <row r="42" spans="1:18">
      <c r="A42" s="2" t="s">
        <v>293</v>
      </c>
      <c r="C42" s="143">
        <f>SUM(C32:C41)</f>
        <v>1245810</v>
      </c>
      <c r="E42" s="143">
        <f>SUM(E32:E41)</f>
        <v>1173038</v>
      </c>
      <c r="G42" s="143">
        <f>SUM(G32:G41)</f>
        <v>102950.83333333333</v>
      </c>
      <c r="H42" s="143">
        <f>SUM(H32:H41)</f>
        <v>115174.6</v>
      </c>
      <c r="I42" s="143">
        <f t="shared" si="0"/>
        <v>-12223.766666666677</v>
      </c>
      <c r="J42" s="142"/>
      <c r="K42" s="143">
        <f>SUM(K32:K41)</f>
        <v>172318.33333333334</v>
      </c>
      <c r="L42" s="143">
        <f>SUM(L32:L41)</f>
        <v>187946.6</v>
      </c>
      <c r="M42" s="143">
        <f t="shared" si="1"/>
        <v>-15628.266666666663</v>
      </c>
      <c r="N42" s="142"/>
      <c r="P42" s="143">
        <f>SUM(P32:P41)</f>
        <v>1141810</v>
      </c>
      <c r="Q42" s="142"/>
      <c r="R42" s="143">
        <f>SUM(R32:R41)</f>
        <v>1057863.3999999999</v>
      </c>
    </row>
    <row r="43" spans="1:18">
      <c r="H43"/>
    </row>
    <row r="44" spans="1:18">
      <c r="A44" s="2" t="s">
        <v>9</v>
      </c>
      <c r="G44" s="143"/>
      <c r="H44" s="143"/>
      <c r="I44" s="143"/>
    </row>
    <row r="45" spans="1:18">
      <c r="A45" t="s">
        <v>367</v>
      </c>
      <c r="C45" s="145">
        <v>100000</v>
      </c>
      <c r="E45" s="145">
        <f>'Month 1 rv'!R45</f>
        <v>91666.67</v>
      </c>
      <c r="G45" s="142">
        <v>8333.3330000000005</v>
      </c>
      <c r="H45" s="142">
        <v>8333.33</v>
      </c>
      <c r="I45" s="145">
        <f>G45-H45</f>
        <v>3.0000000006111804E-3</v>
      </c>
      <c r="K45" s="145">
        <f>G45+'Month 1 rv'!K45</f>
        <v>16666.666000000001</v>
      </c>
      <c r="L45" s="145">
        <f>H45+'Month 1 rv'!L45</f>
        <v>16666.66</v>
      </c>
      <c r="M45" s="145">
        <f>K45-L45</f>
        <v>6.0000000012223609E-3</v>
      </c>
      <c r="N45" s="145"/>
      <c r="P45" s="145">
        <f>C45</f>
        <v>100000</v>
      </c>
      <c r="Q45" s="145"/>
      <c r="R45" s="145">
        <f>E45-H45</f>
        <v>83333.34</v>
      </c>
    </row>
    <row r="46" spans="1:18">
      <c r="A46" s="2" t="s">
        <v>338</v>
      </c>
      <c r="B46" s="2"/>
      <c r="C46" s="143">
        <f>C45</f>
        <v>100000</v>
      </c>
      <c r="D46" s="2">
        <f>D45</f>
        <v>0</v>
      </c>
      <c r="E46" s="143">
        <f>E45</f>
        <v>91666.67</v>
      </c>
      <c r="F46" s="2"/>
      <c r="G46" s="143">
        <f>G45</f>
        <v>8333.3330000000005</v>
      </c>
      <c r="H46" s="143">
        <f>H45</f>
        <v>8333.33</v>
      </c>
      <c r="I46" s="143">
        <f>G46-H46</f>
        <v>3.0000000006111804E-3</v>
      </c>
      <c r="K46" s="143">
        <f>K45</f>
        <v>16666.666000000001</v>
      </c>
      <c r="L46" s="143">
        <f>L45</f>
        <v>16666.66</v>
      </c>
      <c r="M46" s="143">
        <f>K46-L46</f>
        <v>6.0000000012223609E-3</v>
      </c>
      <c r="P46" s="143">
        <f>P45</f>
        <v>100000</v>
      </c>
      <c r="R46" s="143">
        <f>R45</f>
        <v>83333.34</v>
      </c>
    </row>
    <row r="47" spans="1:18">
      <c r="H47"/>
    </row>
    <row r="48" spans="1:18">
      <c r="A48" s="2" t="s">
        <v>354</v>
      </c>
      <c r="H48"/>
    </row>
    <row r="49" spans="1:18" s="144" customFormat="1" ht="12">
      <c r="A49" s="144" t="s">
        <v>366</v>
      </c>
      <c r="C49" s="145">
        <f>-'Month 1 OLD'!G25</f>
        <v>36000</v>
      </c>
      <c r="E49" s="145">
        <f>'Month 1 rv'!R49</f>
        <v>33000</v>
      </c>
      <c r="G49" s="145">
        <f>-'Month 2 OLD'!E25-'Month 1 rv'!G49</f>
        <v>3000</v>
      </c>
      <c r="H49" s="145">
        <f>-'Month 2 OLD'!C25</f>
        <v>3000</v>
      </c>
      <c r="I49" s="145">
        <f>G49-H49</f>
        <v>0</v>
      </c>
      <c r="K49" s="145">
        <f>G49+'Month 1 rv'!K49</f>
        <v>6000</v>
      </c>
      <c r="L49" s="145">
        <f>H49+'Month 1 rv'!L49</f>
        <v>6000</v>
      </c>
      <c r="M49" s="145">
        <f>K49-L49</f>
        <v>0</v>
      </c>
      <c r="P49" s="145">
        <f>C49</f>
        <v>36000</v>
      </c>
      <c r="R49" s="145">
        <f>E49-H49</f>
        <v>30000</v>
      </c>
    </row>
    <row r="50" spans="1:18">
      <c r="A50" s="2" t="s">
        <v>355</v>
      </c>
      <c r="C50" s="143">
        <f>C49</f>
        <v>36000</v>
      </c>
      <c r="D50" s="14"/>
      <c r="E50" s="143">
        <f>E49</f>
        <v>33000</v>
      </c>
      <c r="F50" s="14"/>
      <c r="G50" s="143">
        <f>G49</f>
        <v>3000</v>
      </c>
      <c r="H50" s="143">
        <f>H49</f>
        <v>3000</v>
      </c>
      <c r="I50" s="143">
        <f>I49</f>
        <v>0</v>
      </c>
      <c r="K50" s="143">
        <f>K49</f>
        <v>6000</v>
      </c>
      <c r="L50" s="143">
        <f>L49</f>
        <v>6000</v>
      </c>
      <c r="M50" s="143">
        <f>M49</f>
        <v>0</v>
      </c>
      <c r="P50" s="143">
        <f>P49</f>
        <v>36000</v>
      </c>
      <c r="R50" s="143">
        <f>R49</f>
        <v>30000</v>
      </c>
    </row>
    <row r="51" spans="1:18">
      <c r="H51"/>
    </row>
    <row r="52" spans="1:18">
      <c r="A52" s="2" t="s">
        <v>295</v>
      </c>
      <c r="C52" s="143">
        <f>C50+C42+C46</f>
        <v>1381810</v>
      </c>
      <c r="D52" s="143"/>
      <c r="E52" s="143">
        <f>E50+E42+E46</f>
        <v>1297704.67</v>
      </c>
      <c r="F52" s="143"/>
      <c r="G52" s="143">
        <f>G50+G42+G46</f>
        <v>114284.16633333333</v>
      </c>
      <c r="H52" s="143">
        <f>H50+H42+H46</f>
        <v>126507.93000000001</v>
      </c>
      <c r="I52" s="143">
        <f>I50+I42+I46</f>
        <v>-12223.763666666677</v>
      </c>
      <c r="K52" s="143">
        <f>K50+K42+K46</f>
        <v>194984.99933333334</v>
      </c>
      <c r="L52" s="143">
        <f>L50+L42+L46</f>
        <v>210613.26</v>
      </c>
      <c r="M52" s="143">
        <f>M50+M42+M46</f>
        <v>-15628.260666666662</v>
      </c>
      <c r="P52" s="143">
        <f>P50+P42+P46</f>
        <v>1277810</v>
      </c>
      <c r="R52" s="143">
        <f>R50+R42+R46</f>
        <v>1171196.74</v>
      </c>
    </row>
    <row r="53" spans="1:18">
      <c r="H53"/>
    </row>
    <row r="54" spans="1:18">
      <c r="A54" s="2" t="s">
        <v>296</v>
      </c>
      <c r="C54" s="143">
        <f>C26+C52</f>
        <v>1997910</v>
      </c>
      <c r="D54" s="143"/>
      <c r="E54" s="143">
        <f>E26+E52</f>
        <v>1863217.67</v>
      </c>
      <c r="F54" s="143"/>
      <c r="G54" s="143">
        <f>G26+G52</f>
        <v>166610.46770319634</v>
      </c>
      <c r="H54" s="143">
        <f>H26+H52</f>
        <v>178105.93</v>
      </c>
      <c r="I54" s="143">
        <f>I26+I52</f>
        <v>-11495.462296803662</v>
      </c>
      <c r="K54" s="143">
        <f>K26+K52</f>
        <v>299637.60207305936</v>
      </c>
      <c r="L54" s="143">
        <f>L26+L52</f>
        <v>312798.26</v>
      </c>
      <c r="M54" s="143">
        <f>M26+M52</f>
        <v>-13160.65792694063</v>
      </c>
      <c r="P54" s="143">
        <f>P26+P52</f>
        <v>1893910</v>
      </c>
      <c r="R54" s="143">
        <f>R26+R52</f>
        <v>1685111.74</v>
      </c>
    </row>
    <row r="55" spans="1:18">
      <c r="C55" s="142"/>
      <c r="D55" s="142"/>
      <c r="E55" s="142"/>
      <c r="F55" s="142"/>
      <c r="G55" s="142"/>
      <c r="I55" s="142"/>
      <c r="K55" s="142"/>
      <c r="L55" s="142"/>
      <c r="M55" s="142"/>
      <c r="P55" s="142"/>
      <c r="R55" s="142"/>
    </row>
    <row r="56" spans="1:18" ht="14">
      <c r="C56" s="226" t="s">
        <v>292</v>
      </c>
      <c r="D56" s="2"/>
      <c r="E56" s="221" t="s">
        <v>285</v>
      </c>
      <c r="F56" s="2"/>
      <c r="G56" s="226" t="s">
        <v>287</v>
      </c>
      <c r="H56" s="226" t="s">
        <v>287</v>
      </c>
      <c r="I56" s="227" t="s">
        <v>287</v>
      </c>
      <c r="J56" s="135"/>
      <c r="K56" s="226" t="s">
        <v>290</v>
      </c>
      <c r="L56" s="226" t="s">
        <v>290</v>
      </c>
      <c r="M56" s="226" t="s">
        <v>290</v>
      </c>
      <c r="N56" s="135"/>
      <c r="O56" s="226" t="s">
        <v>373</v>
      </c>
      <c r="P56" s="142"/>
      <c r="R56" s="221" t="s">
        <v>373</v>
      </c>
    </row>
    <row r="57" spans="1:18">
      <c r="C57" s="226" t="s">
        <v>288</v>
      </c>
      <c r="D57" s="2"/>
      <c r="E57" s="221" t="s">
        <v>286</v>
      </c>
      <c r="F57" s="2"/>
      <c r="G57" s="226" t="s">
        <v>288</v>
      </c>
      <c r="H57" s="228" t="s">
        <v>347</v>
      </c>
      <c r="I57" s="226" t="s">
        <v>321</v>
      </c>
      <c r="J57" s="135"/>
      <c r="K57" s="226" t="s">
        <v>288</v>
      </c>
      <c r="L57" s="226" t="s">
        <v>186</v>
      </c>
      <c r="M57" s="226" t="s">
        <v>321</v>
      </c>
      <c r="N57" s="135"/>
      <c r="O57" s="226" t="s">
        <v>286</v>
      </c>
      <c r="P57" s="142"/>
      <c r="R57" s="221" t="s">
        <v>286</v>
      </c>
    </row>
    <row r="58" spans="1:18">
      <c r="C58" s="135"/>
      <c r="D58" s="2"/>
      <c r="E58" s="135"/>
      <c r="F58" s="2"/>
      <c r="G58" s="135"/>
      <c r="H58" s="229"/>
      <c r="I58" s="135"/>
      <c r="J58" s="135"/>
      <c r="K58" s="135"/>
      <c r="L58" s="135"/>
      <c r="M58" s="135"/>
      <c r="N58" s="135"/>
      <c r="O58" s="226"/>
      <c r="P58" s="142"/>
      <c r="R58" s="142"/>
    </row>
    <row r="59" spans="1:18">
      <c r="A59" s="2" t="s">
        <v>297</v>
      </c>
      <c r="B59" s="2"/>
      <c r="C59" s="143">
        <f>C54</f>
        <v>1997910</v>
      </c>
      <c r="D59" s="143"/>
      <c r="E59" s="143">
        <f>E54</f>
        <v>1863217.67</v>
      </c>
      <c r="F59" s="143"/>
      <c r="G59" s="143">
        <f>G54</f>
        <v>166610.46770319634</v>
      </c>
      <c r="H59" s="143">
        <f>H54</f>
        <v>178105.93</v>
      </c>
      <c r="I59" s="143">
        <f>I54</f>
        <v>-11495.462296803662</v>
      </c>
      <c r="K59" s="143">
        <f>K54</f>
        <v>299637.60207305936</v>
      </c>
      <c r="L59" s="143">
        <f>L54</f>
        <v>312798.26</v>
      </c>
      <c r="M59" s="143">
        <f>M54</f>
        <v>-13160.65792694063</v>
      </c>
      <c r="P59" s="143">
        <f>P54</f>
        <v>1893910</v>
      </c>
      <c r="R59" s="143">
        <f>R54</f>
        <v>1685111.74</v>
      </c>
    </row>
    <row r="60" spans="1:18">
      <c r="A60" s="2" t="s">
        <v>356</v>
      </c>
      <c r="B60" s="2"/>
    </row>
  </sheetData>
  <mergeCells count="4">
    <mergeCell ref="P1:R1"/>
    <mergeCell ref="P3:R4"/>
    <mergeCell ref="G5:I5"/>
    <mergeCell ref="K5:M5"/>
  </mergeCells>
  <phoneticPr fontId="16" type="noConversion"/>
  <pageMargins left="0.75" right="0.75" top="1" bottom="1" header="0.3" footer="0.3"/>
  <pageSetup paperSize="9" orientation="portrait" horizontalDpi="4294967292" verticalDpi="429496729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60"/>
  <sheetViews>
    <sheetView showGridLines="0" topLeftCell="A17" zoomScale="120" zoomScaleNormal="120" workbookViewId="0">
      <selection activeCell="A54" sqref="A5:R54"/>
    </sheetView>
  </sheetViews>
  <sheetFormatPr baseColWidth="10" defaultColWidth="8.83203125" defaultRowHeight="13"/>
  <cols>
    <col min="2" max="2" width="29.1640625" customWidth="1"/>
    <col min="3" max="3" width="11.83203125" customWidth="1"/>
    <col min="4" max="4" width="1.83203125" hidden="1" customWidth="1"/>
    <col min="5" max="5" width="11.83203125" hidden="1" customWidth="1"/>
    <col min="6" max="6" width="2.33203125" customWidth="1"/>
    <col min="7" max="7" width="12.6640625" customWidth="1"/>
    <col min="8" max="8" width="12.6640625" style="142" customWidth="1"/>
    <col min="9" max="9" width="12.6640625" customWidth="1"/>
    <col min="10" max="10" width="1.6640625" customWidth="1"/>
    <col min="11" max="13" width="12.6640625" customWidth="1"/>
    <col min="14" max="14" width="1.6640625" hidden="1" customWidth="1"/>
    <col min="15" max="15" width="12.6640625" hidden="1" customWidth="1"/>
    <col min="16" max="16" width="14.5" hidden="1" customWidth="1"/>
    <col min="17" max="17" width="1.6640625" customWidth="1"/>
    <col min="18" max="18" width="12.83203125" customWidth="1"/>
  </cols>
  <sheetData>
    <row r="1" spans="1:18" ht="18">
      <c r="A1" s="81"/>
      <c r="G1" s="220"/>
      <c r="H1" s="220" t="s">
        <v>371</v>
      </c>
      <c r="I1" s="220"/>
      <c r="J1" s="220"/>
      <c r="K1" s="220"/>
      <c r="L1" s="220"/>
      <c r="M1" s="220"/>
      <c r="P1" s="692" t="s">
        <v>298</v>
      </c>
      <c r="Q1" s="692"/>
      <c r="R1" s="692"/>
    </row>
    <row r="2" spans="1:18" hidden="1"/>
    <row r="3" spans="1:18" ht="18">
      <c r="A3" s="67" t="s">
        <v>659</v>
      </c>
      <c r="G3" s="220"/>
      <c r="I3" s="220"/>
      <c r="J3" s="220"/>
      <c r="K3" s="220"/>
      <c r="L3" s="220"/>
      <c r="M3" s="220"/>
      <c r="P3" s="691"/>
      <c r="Q3" s="691"/>
      <c r="R3" s="691"/>
    </row>
    <row r="4" spans="1:18">
      <c r="A4" s="2"/>
      <c r="P4" s="691"/>
      <c r="Q4" s="691"/>
      <c r="R4" s="691"/>
    </row>
    <row r="5" spans="1:18" ht="14">
      <c r="G5" s="694" t="s">
        <v>372</v>
      </c>
      <c r="H5" s="695"/>
      <c r="I5" s="696"/>
      <c r="K5" s="694" t="s">
        <v>372</v>
      </c>
      <c r="L5" s="695"/>
      <c r="M5" s="696"/>
    </row>
    <row r="6" spans="1:18" ht="14">
      <c r="C6" s="221" t="s">
        <v>292</v>
      </c>
      <c r="D6" s="2"/>
      <c r="E6" s="221" t="s">
        <v>285</v>
      </c>
      <c r="F6" s="2"/>
      <c r="G6" s="221" t="s">
        <v>287</v>
      </c>
      <c r="H6" s="221" t="s">
        <v>287</v>
      </c>
      <c r="I6" s="222" t="s">
        <v>287</v>
      </c>
      <c r="J6" s="135"/>
      <c r="K6" s="221" t="s">
        <v>290</v>
      </c>
      <c r="L6" s="221" t="s">
        <v>290</v>
      </c>
      <c r="M6" s="221" t="s">
        <v>290</v>
      </c>
      <c r="N6" s="2"/>
      <c r="O6" s="224" t="s">
        <v>292</v>
      </c>
      <c r="P6" s="225" t="s">
        <v>348</v>
      </c>
      <c r="Q6" s="135"/>
      <c r="R6" s="221" t="s">
        <v>373</v>
      </c>
    </row>
    <row r="7" spans="1:18" ht="14" thickBot="1">
      <c r="C7" s="221" t="s">
        <v>288</v>
      </c>
      <c r="D7" s="2"/>
      <c r="E7" s="221" t="s">
        <v>286</v>
      </c>
      <c r="F7" s="2"/>
      <c r="G7" s="221" t="s">
        <v>288</v>
      </c>
      <c r="H7" s="223" t="s">
        <v>347</v>
      </c>
      <c r="I7" s="221" t="s">
        <v>321</v>
      </c>
      <c r="J7" s="135"/>
      <c r="K7" s="221" t="s">
        <v>288</v>
      </c>
      <c r="L7" s="221" t="s">
        <v>186</v>
      </c>
      <c r="M7" s="221" t="s">
        <v>321</v>
      </c>
      <c r="N7" s="2"/>
      <c r="O7" s="180" t="s">
        <v>288</v>
      </c>
      <c r="P7" s="181" t="s">
        <v>288</v>
      </c>
      <c r="Q7" s="135"/>
      <c r="R7" s="221" t="s">
        <v>286</v>
      </c>
    </row>
    <row r="8" spans="1:18" hidden="1"/>
    <row r="9" spans="1:18" hidden="1"/>
    <row r="10" spans="1:18" hidden="1">
      <c r="A10" s="67"/>
    </row>
    <row r="11" spans="1:18" ht="14" hidden="1">
      <c r="A11" s="141" t="s">
        <v>341</v>
      </c>
    </row>
    <row r="12" spans="1:18" ht="14" hidden="1">
      <c r="A12" s="141"/>
    </row>
    <row r="13" spans="1:18" ht="14">
      <c r="A13" s="140" t="s">
        <v>374</v>
      </c>
    </row>
    <row r="14" spans="1:18" s="144" customFormat="1" ht="12">
      <c r="A14" s="300" t="s">
        <v>349</v>
      </c>
      <c r="B14" s="300"/>
      <c r="C14" s="301">
        <f>-G14/$G$26*'Month 1 OLD'!$G$13</f>
        <v>481624.32692307699</v>
      </c>
      <c r="D14" s="301"/>
      <c r="E14" s="301">
        <f>'Month 2 rv'!R14</f>
        <v>401743.16826923081</v>
      </c>
      <c r="F14" s="300"/>
      <c r="G14" s="301">
        <f>'cashflow updated'!I21/-1.2*48/52+'cashflow updated'!I21/-1.2*0.015</f>
        <v>39585.561116965226</v>
      </c>
      <c r="H14" s="301">
        <f>-'Month 3 OLD'!$C$13*'Month 3 rv'!G14/'Month 3 rv'!$G$26</f>
        <v>40541.339423076926</v>
      </c>
      <c r="I14" s="301">
        <f>G14-H14</f>
        <v>-955.77830611170066</v>
      </c>
      <c r="J14" s="300"/>
      <c r="K14" s="301">
        <f>G14+'Month 2 rv'!K14</f>
        <v>121395.72075869337</v>
      </c>
      <c r="L14" s="301">
        <f>H14+'Month 2 rv'!L14</f>
        <v>120422.49807692308</v>
      </c>
      <c r="M14" s="301">
        <f>K14-L14</f>
        <v>973.22268177029036</v>
      </c>
      <c r="N14" s="300"/>
      <c r="O14" s="300"/>
      <c r="P14" s="301">
        <f>C14</f>
        <v>481624.32692307699</v>
      </c>
      <c r="Q14" s="300"/>
      <c r="R14" s="301">
        <f>E14-H14</f>
        <v>361201.82884615386</v>
      </c>
    </row>
    <row r="15" spans="1:18" s="144" customFormat="1" ht="12">
      <c r="A15" s="302" t="s">
        <v>350</v>
      </c>
      <c r="B15" s="302"/>
      <c r="C15" s="303">
        <f>-G15/$G$26*'Month 1 OLD'!$G$13</f>
        <v>0</v>
      </c>
      <c r="D15" s="303"/>
      <c r="E15" s="303">
        <f>'Month 2 rv'!R15</f>
        <v>0</v>
      </c>
      <c r="F15" s="302"/>
      <c r="G15" s="303">
        <v>0</v>
      </c>
      <c r="H15" s="303">
        <f>-'Month 3 OLD'!$C$13*'Month 3 rv'!G15/'Month 3 rv'!$G$26</f>
        <v>0</v>
      </c>
      <c r="I15" s="303">
        <f>G15-H15</f>
        <v>0</v>
      </c>
      <c r="J15" s="302"/>
      <c r="K15" s="303">
        <f>G15+'Month 2 rv'!K15</f>
        <v>0</v>
      </c>
      <c r="L15" s="303">
        <f>H15+'Month 2 rv'!L15</f>
        <v>0</v>
      </c>
      <c r="M15" s="303">
        <f>K15-L15</f>
        <v>0</v>
      </c>
      <c r="N15" s="302"/>
      <c r="O15" s="302"/>
      <c r="P15" s="303">
        <f>C15</f>
        <v>0</v>
      </c>
      <c r="Q15" s="302"/>
      <c r="R15" s="303">
        <f>E15-H15</f>
        <v>0</v>
      </c>
    </row>
    <row r="16" spans="1:18" s="144" customFormat="1">
      <c r="A16" s="304" t="s">
        <v>343</v>
      </c>
      <c r="B16" s="305"/>
      <c r="C16" s="306">
        <f>SUM(C14:C15)</f>
        <v>481624.32692307699</v>
      </c>
      <c r="D16" s="306"/>
      <c r="E16" s="306">
        <f>SUM(E14:E15)</f>
        <v>401743.16826923081</v>
      </c>
      <c r="F16" s="305"/>
      <c r="G16" s="306">
        <f>SUM(G14:G15)</f>
        <v>39585.561116965226</v>
      </c>
      <c r="H16" s="306">
        <f>SUM(H14:H15)</f>
        <v>40541.339423076926</v>
      </c>
      <c r="I16" s="306">
        <f>SUM(I14:I15)</f>
        <v>-955.77830611170066</v>
      </c>
      <c r="J16" s="307"/>
      <c r="K16" s="306">
        <f>SUM(K14:K15)</f>
        <v>121395.72075869337</v>
      </c>
      <c r="L16" s="306">
        <f>SUM(L14:L15)</f>
        <v>120422.49807692308</v>
      </c>
      <c r="M16" s="306">
        <f>SUM(M14:M15)</f>
        <v>973.22268177029036</v>
      </c>
      <c r="N16" s="307"/>
      <c r="O16" s="305"/>
      <c r="P16" s="306">
        <f>SUM(P14:P15)</f>
        <v>481624.32692307699</v>
      </c>
      <c r="Q16" s="307"/>
      <c r="R16" s="306">
        <f>SUM(R14:R15)</f>
        <v>361201.82884615386</v>
      </c>
    </row>
    <row r="17" spans="1:18" s="144" customFormat="1" ht="12">
      <c r="C17" s="145"/>
      <c r="D17" s="145"/>
      <c r="E17" s="145"/>
      <c r="G17" s="145"/>
      <c r="H17" s="145"/>
      <c r="I17" s="145"/>
      <c r="K17" s="145"/>
      <c r="L17" s="145"/>
      <c r="M17" s="145"/>
      <c r="P17" s="145"/>
      <c r="R17" s="145"/>
    </row>
    <row r="18" spans="1:18">
      <c r="A18" s="152" t="s">
        <v>344</v>
      </c>
      <c r="R18" s="145"/>
    </row>
    <row r="19" spans="1:18" s="144" customFormat="1" ht="12">
      <c r="A19" s="300" t="s">
        <v>351</v>
      </c>
      <c r="B19" s="300"/>
      <c r="C19" s="301">
        <f>-G19/$G$26*'Month 1 OLD'!$G$13</f>
        <v>39493.58974358975</v>
      </c>
      <c r="D19" s="301"/>
      <c r="E19" s="301">
        <f>'Month 2 rv'!R19</f>
        <v>32943.269230769234</v>
      </c>
      <c r="F19" s="300"/>
      <c r="G19" s="301">
        <f>'cashflow updated'!I21/-1.2*4/52</f>
        <v>3246.0484720758691</v>
      </c>
      <c r="H19" s="301">
        <f>-'Month 3 OLD'!$C$13*'Month 3 rv'!G19/'Month 3 rv'!$G$26</f>
        <v>3324.4230769230767</v>
      </c>
      <c r="I19" s="301">
        <f>G19-H19</f>
        <v>-78.374604847207593</v>
      </c>
      <c r="J19" s="300"/>
      <c r="K19" s="301">
        <f>G19+'Month 2 rv'!K19</f>
        <v>9954.5486476993319</v>
      </c>
      <c r="L19" s="301">
        <f>H19+'Month 2 rv'!L19</f>
        <v>9874.743589743588</v>
      </c>
      <c r="M19" s="301">
        <f>K19-L19</f>
        <v>79.805057955743905</v>
      </c>
      <c r="N19" s="300"/>
      <c r="O19" s="300"/>
      <c r="P19" s="301">
        <f>C19</f>
        <v>39493.58974358975</v>
      </c>
      <c r="Q19" s="300"/>
      <c r="R19" s="301">
        <f>E19-H19</f>
        <v>29618.846153846156</v>
      </c>
    </row>
    <row r="20" spans="1:18" s="144" customFormat="1" ht="12">
      <c r="A20" s="302" t="s">
        <v>352</v>
      </c>
      <c r="B20" s="302"/>
      <c r="C20" s="303">
        <f>-G20/$G$26*'Month 1 OLD'!$G$13</f>
        <v>20536.666666666668</v>
      </c>
      <c r="D20" s="303"/>
      <c r="E20" s="303">
        <f>'Month 2 rv'!R20</f>
        <v>17130.5</v>
      </c>
      <c r="F20" s="302"/>
      <c r="G20" s="303">
        <f>'cashflow updated'!I21/-1.2*0.04</f>
        <v>1687.9452054794519</v>
      </c>
      <c r="H20" s="303">
        <f>-'Month 3 OLD'!$C$13*'Month 3 rv'!G20/'Month 3 rv'!$G$26</f>
        <v>1728.7</v>
      </c>
      <c r="I20" s="303">
        <f>G20-H20</f>
        <v>-40.754794520548103</v>
      </c>
      <c r="J20" s="302"/>
      <c r="K20" s="303">
        <f>G20+'Month 2 rv'!K20</f>
        <v>5176.3652968036531</v>
      </c>
      <c r="L20" s="303">
        <f>H20+'Month 2 rv'!L20</f>
        <v>5134.8666666666659</v>
      </c>
      <c r="M20" s="303">
        <f>K20-L20</f>
        <v>41.498630136987231</v>
      </c>
      <c r="N20" s="302"/>
      <c r="O20" s="302"/>
      <c r="P20" s="303">
        <f>C20</f>
        <v>20536.666666666668</v>
      </c>
      <c r="Q20" s="302"/>
      <c r="R20" s="303">
        <f>E20-H20</f>
        <v>15401.8</v>
      </c>
    </row>
    <row r="21" spans="1:18" s="144" customFormat="1" ht="12">
      <c r="A21" s="302" t="s">
        <v>357</v>
      </c>
      <c r="B21" s="302"/>
      <c r="C21" s="303">
        <f>-G21/$G$26*'Month 1 OLD'!$G$13</f>
        <v>28237.916666666664</v>
      </c>
      <c r="D21" s="303"/>
      <c r="E21" s="303">
        <f>'Month 2 rv'!R21</f>
        <v>23554.4375</v>
      </c>
      <c r="F21" s="302"/>
      <c r="G21" s="303">
        <f>'cashflow updated'!I21/-1.2*0.055</f>
        <v>2320.9246575342463</v>
      </c>
      <c r="H21" s="303">
        <f>-'Month 3 OLD'!$C$13*'Month 3 rv'!G21/'Month 3 rv'!$G$26</f>
        <v>2376.9625000000001</v>
      </c>
      <c r="I21" s="303">
        <f>G21-H21</f>
        <v>-56.037842465753783</v>
      </c>
      <c r="J21" s="302"/>
      <c r="K21" s="303">
        <f>G21+'Month 2 rv'!K21</f>
        <v>7117.5022831050228</v>
      </c>
      <c r="L21" s="303">
        <f>H21+'Month 2 rv'!L21</f>
        <v>7060.4416666666657</v>
      </c>
      <c r="M21" s="303">
        <f>K21-L21</f>
        <v>57.060616438357101</v>
      </c>
      <c r="N21" s="302"/>
      <c r="O21" s="302"/>
      <c r="P21" s="303">
        <f>C21</f>
        <v>28237.916666666664</v>
      </c>
      <c r="Q21" s="302"/>
      <c r="R21" s="303">
        <f>E21-H21</f>
        <v>21177.474999999999</v>
      </c>
    </row>
    <row r="22" spans="1:18" s="144" customFormat="1" ht="12">
      <c r="A22" s="305" t="s">
        <v>353</v>
      </c>
      <c r="B22" s="305"/>
      <c r="C22" s="308">
        <f>-G22/$G$26*'Month 1 OLD'!$G$13</f>
        <v>46207.5</v>
      </c>
      <c r="D22" s="308"/>
      <c r="E22" s="308">
        <f>'Month 2 rv'!R22</f>
        <v>38543.624999999993</v>
      </c>
      <c r="F22" s="305"/>
      <c r="G22" s="308">
        <f>'cashflow updated'!I21/-1.2*0.09</f>
        <v>3797.8767123287666</v>
      </c>
      <c r="H22" s="308">
        <f>-'Month 3 OLD'!$C$13*'Month 3 rv'!G22/'Month 3 rv'!$G$26</f>
        <v>3889.5749999999998</v>
      </c>
      <c r="I22" s="308">
        <f>G22-H22</f>
        <v>-91.698287671233174</v>
      </c>
      <c r="J22" s="305"/>
      <c r="K22" s="308">
        <f>G22+'Month 2 rv'!K22</f>
        <v>11646.821917808218</v>
      </c>
      <c r="L22" s="308">
        <f>H22+'Month 2 rv'!L22</f>
        <v>11553.449999999997</v>
      </c>
      <c r="M22" s="308">
        <f>K22-L22</f>
        <v>93.371917808221042</v>
      </c>
      <c r="N22" s="305"/>
      <c r="O22" s="305"/>
      <c r="P22" s="308">
        <f>C22</f>
        <v>46207.5</v>
      </c>
      <c r="Q22" s="305"/>
      <c r="R22" s="308">
        <f>E22-H22</f>
        <v>34654.049999999996</v>
      </c>
    </row>
    <row r="23" spans="1:18" s="144" customFormat="1">
      <c r="A23"/>
      <c r="C23" s="145"/>
      <c r="D23" s="145"/>
      <c r="E23" s="145"/>
      <c r="G23" s="145"/>
      <c r="H23" s="145"/>
      <c r="I23" s="145"/>
      <c r="K23" s="145"/>
      <c r="L23" s="145"/>
      <c r="M23" s="145"/>
      <c r="P23" s="145"/>
      <c r="R23" s="145"/>
    </row>
    <row r="24" spans="1:18" s="144" customFormat="1">
      <c r="A24" s="2" t="s">
        <v>345</v>
      </c>
      <c r="C24" s="164">
        <f>SUM(C19:C22)</f>
        <v>134475.67307692309</v>
      </c>
      <c r="D24" s="164"/>
      <c r="E24" s="164">
        <f>SUM(E19:E22)</f>
        <v>112171.83173076922</v>
      </c>
      <c r="G24" s="164">
        <f>SUM(G19:G22)</f>
        <v>11052.795047418334</v>
      </c>
      <c r="H24" s="164">
        <f>SUM(H19:H22)</f>
        <v>11319.660576923077</v>
      </c>
      <c r="I24" s="164">
        <f>SUM(I19:I22)</f>
        <v>-266.86552950474265</v>
      </c>
      <c r="J24" s="152"/>
      <c r="K24" s="164">
        <f>SUM(K19:K22)</f>
        <v>33895.238145416224</v>
      </c>
      <c r="L24" s="164">
        <f>SUM(L19:L22)</f>
        <v>33623.501923076918</v>
      </c>
      <c r="M24" s="164">
        <f>SUM(M19:M22)</f>
        <v>271.73622233930928</v>
      </c>
      <c r="N24" s="152"/>
      <c r="P24" s="164">
        <f>SUM(P19:P22)</f>
        <v>134475.67307692309</v>
      </c>
      <c r="Q24" s="152"/>
      <c r="R24" s="164">
        <f>SUM(R19:R22)</f>
        <v>100852.17115384614</v>
      </c>
    </row>
    <row r="25" spans="1:18" s="144" customFormat="1" ht="12">
      <c r="C25" s="145"/>
      <c r="D25" s="145"/>
      <c r="E25" s="145"/>
      <c r="G25" s="145"/>
      <c r="H25" s="145"/>
      <c r="I25" s="145"/>
      <c r="K25" s="145"/>
      <c r="L25" s="145"/>
      <c r="M25" s="145"/>
      <c r="P25" s="145"/>
      <c r="R25" s="145"/>
    </row>
    <row r="26" spans="1:18">
      <c r="A26" s="2" t="s">
        <v>280</v>
      </c>
      <c r="C26" s="143">
        <f>C16+C24</f>
        <v>616100.00000000012</v>
      </c>
      <c r="D26" s="143"/>
      <c r="E26" s="143">
        <f>E16+E24</f>
        <v>513915</v>
      </c>
      <c r="G26" s="143">
        <f>G16+G24</f>
        <v>50638.356164383556</v>
      </c>
      <c r="H26" s="143">
        <f>H16+H24</f>
        <v>51861</v>
      </c>
      <c r="I26" s="143">
        <f>I16+I24</f>
        <v>-1222.6438356164433</v>
      </c>
      <c r="K26" s="143">
        <f>K16+K24</f>
        <v>155290.9589041096</v>
      </c>
      <c r="L26" s="143">
        <f>L16+L24</f>
        <v>154046</v>
      </c>
      <c r="M26" s="143">
        <f>M16+M24</f>
        <v>1244.9589041095996</v>
      </c>
      <c r="P26" s="143">
        <f>P16+P24</f>
        <v>616100.00000000012</v>
      </c>
      <c r="R26" s="143">
        <f>R16+R24</f>
        <v>462054</v>
      </c>
    </row>
    <row r="28" spans="1:18" ht="14">
      <c r="C28" s="221" t="s">
        <v>292</v>
      </c>
      <c r="D28" s="221"/>
      <c r="E28" s="221" t="s">
        <v>285</v>
      </c>
      <c r="F28" s="2"/>
      <c r="G28" s="221" t="s">
        <v>287</v>
      </c>
      <c r="H28" s="221" t="s">
        <v>287</v>
      </c>
      <c r="I28" s="222" t="s">
        <v>287</v>
      </c>
      <c r="J28" s="135"/>
      <c r="K28" s="221" t="s">
        <v>290</v>
      </c>
      <c r="L28" s="221" t="s">
        <v>290</v>
      </c>
      <c r="M28" s="221" t="s">
        <v>290</v>
      </c>
      <c r="N28" s="2"/>
      <c r="O28" s="224" t="s">
        <v>292</v>
      </c>
      <c r="P28" s="225" t="s">
        <v>348</v>
      </c>
      <c r="Q28" s="135"/>
      <c r="R28" s="221" t="s">
        <v>373</v>
      </c>
    </row>
    <row r="29" spans="1:18" ht="14" thickBot="1">
      <c r="C29" s="221" t="s">
        <v>288</v>
      </c>
      <c r="D29" s="221"/>
      <c r="E29" s="221" t="s">
        <v>286</v>
      </c>
      <c r="F29" s="2"/>
      <c r="G29" s="221" t="s">
        <v>288</v>
      </c>
      <c r="H29" s="223" t="s">
        <v>347</v>
      </c>
      <c r="I29" s="221" t="s">
        <v>321</v>
      </c>
      <c r="J29" s="135"/>
      <c r="K29" s="221" t="s">
        <v>288</v>
      </c>
      <c r="L29" s="221" t="s">
        <v>186</v>
      </c>
      <c r="M29" s="221" t="s">
        <v>321</v>
      </c>
      <c r="N29" s="2"/>
      <c r="O29" s="180" t="s">
        <v>288</v>
      </c>
      <c r="P29" s="181" t="s">
        <v>288</v>
      </c>
      <c r="Q29" s="135"/>
      <c r="R29" s="221" t="s">
        <v>286</v>
      </c>
    </row>
    <row r="30" spans="1:18" ht="14">
      <c r="A30" s="140" t="s">
        <v>375</v>
      </c>
    </row>
    <row r="31" spans="1:18">
      <c r="A31" s="2" t="s">
        <v>376</v>
      </c>
    </row>
    <row r="32" spans="1:18" s="144" customFormat="1" ht="12">
      <c r="A32" s="300" t="s">
        <v>360</v>
      </c>
      <c r="B32" s="300"/>
      <c r="C32" s="301">
        <f>-'Month 1 OLD'!G15</f>
        <v>45000</v>
      </c>
      <c r="D32" s="301"/>
      <c r="E32" s="301">
        <f>'Month 2 rv'!R32</f>
        <v>33500</v>
      </c>
      <c r="F32" s="300"/>
      <c r="G32" s="301">
        <f>'assumptions updated'!M17</f>
        <v>0</v>
      </c>
      <c r="H32" s="301">
        <f>-'Month 3 OLD'!C15</f>
        <v>0</v>
      </c>
      <c r="I32" s="301">
        <f t="shared" ref="I32:I42" si="0">G32-H32</f>
        <v>0</v>
      </c>
      <c r="J32" s="301"/>
      <c r="K32" s="301">
        <f>G32+'Month 2 rv'!K32</f>
        <v>11250</v>
      </c>
      <c r="L32" s="301">
        <f>H32+'Month 2 rv'!L32</f>
        <v>11500</v>
      </c>
      <c r="M32" s="301">
        <f t="shared" ref="M32:M42" si="1">K32-L32</f>
        <v>-250</v>
      </c>
      <c r="N32" s="301"/>
      <c r="O32" s="300"/>
      <c r="P32" s="301">
        <f t="shared" ref="P32:P41" si="2">C32</f>
        <v>45000</v>
      </c>
      <c r="Q32" s="301"/>
      <c r="R32" s="301">
        <f>E32-H32</f>
        <v>33500</v>
      </c>
    </row>
    <row r="33" spans="1:18" s="144" customFormat="1" ht="12">
      <c r="A33" s="302" t="s">
        <v>361</v>
      </c>
      <c r="B33" s="302"/>
      <c r="C33" s="303">
        <f>-'Month 1 OLD'!G16</f>
        <v>91610</v>
      </c>
      <c r="D33" s="303"/>
      <c r="E33" s="303">
        <f>'Month 2 rv'!R33</f>
        <v>75701</v>
      </c>
      <c r="F33" s="302"/>
      <c r="G33" s="303">
        <f>'assumptions updated'!M19+'assumptions updated'!M23</f>
        <v>7634.166666666667</v>
      </c>
      <c r="H33" s="303">
        <f>-'Month 3 OLD'!C16</f>
        <v>6900</v>
      </c>
      <c r="I33" s="303">
        <f t="shared" si="0"/>
        <v>734.16666666666697</v>
      </c>
      <c r="J33" s="303"/>
      <c r="K33" s="303">
        <f>G33+'Month 2 rv'!K33</f>
        <v>22902.5</v>
      </c>
      <c r="L33" s="303">
        <f>H33+'Month 2 rv'!L33</f>
        <v>22809</v>
      </c>
      <c r="M33" s="303">
        <f t="shared" si="1"/>
        <v>93.5</v>
      </c>
      <c r="N33" s="303"/>
      <c r="O33" s="302"/>
      <c r="P33" s="303">
        <f t="shared" si="2"/>
        <v>91610</v>
      </c>
      <c r="Q33" s="303"/>
      <c r="R33" s="303">
        <f t="shared" ref="R33:R41" si="3">E33-H33</f>
        <v>68801</v>
      </c>
    </row>
    <row r="34" spans="1:18" s="144" customFormat="1" ht="12">
      <c r="A34" s="302" t="s">
        <v>362</v>
      </c>
      <c r="B34" s="302"/>
      <c r="C34" s="303">
        <f>-'Month 1 OLD'!G17</f>
        <v>395200</v>
      </c>
      <c r="D34" s="303"/>
      <c r="E34" s="303">
        <f>'Month 2 rv'!R34</f>
        <v>336239</v>
      </c>
      <c r="F34" s="302"/>
      <c r="G34" s="303">
        <f>'assumptions updated'!M26+'assumptions updated'!M27+'assumptions updated'!M28</f>
        <v>38000</v>
      </c>
      <c r="H34" s="303">
        <f>-'Month 3 OLD'!C17</f>
        <v>39740</v>
      </c>
      <c r="I34" s="303">
        <f t="shared" si="0"/>
        <v>-1740</v>
      </c>
      <c r="J34" s="303"/>
      <c r="K34" s="303">
        <f>G34+'Month 2 rv'!K34</f>
        <v>98800</v>
      </c>
      <c r="L34" s="303">
        <f>H34+'Month 2 rv'!L34</f>
        <v>98701</v>
      </c>
      <c r="M34" s="303">
        <f t="shared" si="1"/>
        <v>99</v>
      </c>
      <c r="N34" s="303"/>
      <c r="O34" s="302"/>
      <c r="P34" s="303">
        <f t="shared" si="2"/>
        <v>395200</v>
      </c>
      <c r="Q34" s="303"/>
      <c r="R34" s="303">
        <f t="shared" si="3"/>
        <v>296499</v>
      </c>
    </row>
    <row r="35" spans="1:18" s="144" customFormat="1" ht="12">
      <c r="A35" s="302" t="s">
        <v>363</v>
      </c>
      <c r="B35" s="302"/>
      <c r="C35" s="303">
        <f>-'Month 1 OLD'!G18</f>
        <v>72000</v>
      </c>
      <c r="D35" s="303"/>
      <c r="E35" s="303">
        <f>'Month 2 rv'!R35</f>
        <v>59366</v>
      </c>
      <c r="F35" s="302"/>
      <c r="G35" s="303">
        <f>'assumptions updated'!M35</f>
        <v>6000</v>
      </c>
      <c r="H35" s="303">
        <f>-'Month 3 OLD'!C18</f>
        <v>7757</v>
      </c>
      <c r="I35" s="303">
        <f t="shared" si="0"/>
        <v>-1757</v>
      </c>
      <c r="J35" s="303"/>
      <c r="K35" s="303">
        <f>G35+'Month 2 rv'!K35</f>
        <v>18000</v>
      </c>
      <c r="L35" s="303">
        <f>H35+'Month 2 rv'!L35</f>
        <v>20391</v>
      </c>
      <c r="M35" s="303">
        <f t="shared" si="1"/>
        <v>-2391</v>
      </c>
      <c r="N35" s="303"/>
      <c r="O35" s="302"/>
      <c r="P35" s="303">
        <f t="shared" si="2"/>
        <v>72000</v>
      </c>
      <c r="Q35" s="303"/>
      <c r="R35" s="303">
        <f t="shared" si="3"/>
        <v>51609</v>
      </c>
    </row>
    <row r="36" spans="1:18" s="144" customFormat="1" ht="12">
      <c r="A36" s="302" t="s">
        <v>359</v>
      </c>
      <c r="B36" s="302"/>
      <c r="C36" s="303">
        <f>-'Month 1 OLD'!G19</f>
        <v>168000</v>
      </c>
      <c r="D36" s="303"/>
      <c r="E36" s="303">
        <f>'Month 2 rv'!R36</f>
        <v>148577</v>
      </c>
      <c r="F36" s="302"/>
      <c r="G36" s="303">
        <f>SUM('assumptions updated'!M36:M41)</f>
        <v>36000</v>
      </c>
      <c r="H36" s="303">
        <f>-'Month 3 OLD'!C19</f>
        <v>18033</v>
      </c>
      <c r="I36" s="303">
        <f t="shared" si="0"/>
        <v>17967</v>
      </c>
      <c r="J36" s="303"/>
      <c r="K36" s="303">
        <f>G36+'Month 2 rv'!K36</f>
        <v>42000</v>
      </c>
      <c r="L36" s="303">
        <f>H36+'Month 2 rv'!L36</f>
        <v>37456</v>
      </c>
      <c r="M36" s="303">
        <f t="shared" si="1"/>
        <v>4544</v>
      </c>
      <c r="N36" s="303"/>
      <c r="O36" s="302"/>
      <c r="P36" s="303">
        <f t="shared" si="2"/>
        <v>168000</v>
      </c>
      <c r="Q36" s="303"/>
      <c r="R36" s="303">
        <f t="shared" si="3"/>
        <v>130544</v>
      </c>
    </row>
    <row r="37" spans="1:18" s="144" customFormat="1" ht="12">
      <c r="A37" s="302" t="s">
        <v>432</v>
      </c>
      <c r="B37" s="302"/>
      <c r="C37" s="303">
        <f>-'Month 1 OLD'!G20</f>
        <v>104000</v>
      </c>
      <c r="D37" s="303"/>
      <c r="E37" s="303">
        <f>'Month 2 rv'!R37</f>
        <v>85878.399999999994</v>
      </c>
      <c r="F37" s="302"/>
      <c r="G37" s="303">
        <f>'assumptions updated'!M20+'assumptions updated'!M21</f>
        <v>0</v>
      </c>
      <c r="H37" s="303">
        <f>-'Month 3 OLD'!C20</f>
        <v>0</v>
      </c>
      <c r="I37" s="303">
        <f t="shared" si="0"/>
        <v>0</v>
      </c>
      <c r="J37" s="303"/>
      <c r="K37" s="303">
        <f>G37+'Month 2 rv'!K37</f>
        <v>17333.333333333336</v>
      </c>
      <c r="L37" s="303">
        <f>H37+'Month 2 rv'!L37</f>
        <v>18121.599999999999</v>
      </c>
      <c r="M37" s="303">
        <f>K37-L37</f>
        <v>-788.26666666666279</v>
      </c>
      <c r="N37" s="303"/>
      <c r="O37" s="302"/>
      <c r="P37" s="303">
        <f>C37</f>
        <v>104000</v>
      </c>
      <c r="Q37" s="303"/>
      <c r="R37" s="303">
        <f>E37-H37</f>
        <v>85878.399999999994</v>
      </c>
    </row>
    <row r="38" spans="1:18" s="144" customFormat="1" ht="12">
      <c r="A38" s="144" t="s">
        <v>657</v>
      </c>
      <c r="B38" s="302"/>
      <c r="C38" s="303">
        <f>-'Month 1 OLD'!G21</f>
        <v>100000</v>
      </c>
      <c r="D38" s="303"/>
      <c r="E38" s="303">
        <f>'Month 2 rv'!R38</f>
        <v>100000</v>
      </c>
      <c r="F38" s="302"/>
      <c r="G38" s="303">
        <f>'assumptions updated'!M18+'assumptions updated'!M32</f>
        <v>15000</v>
      </c>
      <c r="H38" s="303">
        <f>-'Month 3 OLD'!C21</f>
        <v>7120</v>
      </c>
      <c r="I38" s="303">
        <f t="shared" si="0"/>
        <v>7880</v>
      </c>
      <c r="J38" s="303"/>
      <c r="K38" s="303">
        <f>G38+'Month 2 rv'!K38</f>
        <v>21000</v>
      </c>
      <c r="L38" s="303">
        <f>H38+'Month 2 rv'!L38</f>
        <v>7120</v>
      </c>
      <c r="M38" s="303">
        <f t="shared" si="1"/>
        <v>13880</v>
      </c>
      <c r="N38" s="303"/>
      <c r="O38" s="302"/>
      <c r="P38" s="303">
        <f t="shared" si="2"/>
        <v>100000</v>
      </c>
      <c r="Q38" s="303"/>
      <c r="R38" s="303">
        <f t="shared" si="3"/>
        <v>92880</v>
      </c>
    </row>
    <row r="39" spans="1:18" s="144" customFormat="1" ht="12">
      <c r="A39" s="302" t="s">
        <v>358</v>
      </c>
      <c r="B39" s="302"/>
      <c r="C39" s="303">
        <f>-'Month 1 OLD'!G22</f>
        <v>46800</v>
      </c>
      <c r="D39" s="303"/>
      <c r="E39" s="303">
        <f>'Month 2 rv'!R39</f>
        <v>31718</v>
      </c>
      <c r="F39" s="302"/>
      <c r="G39" s="303">
        <f>'assumptions updated'!M33</f>
        <v>4500</v>
      </c>
      <c r="H39" s="303">
        <f>-'Month 3 OLD'!C22</f>
        <v>20542.64</v>
      </c>
      <c r="I39" s="303">
        <f t="shared" si="0"/>
        <v>-16042.64</v>
      </c>
      <c r="J39" s="303"/>
      <c r="K39" s="303">
        <f>G39+'Month 2 rv'!K39</f>
        <v>11700</v>
      </c>
      <c r="L39" s="303">
        <f>H39+'Month 2 rv'!L39</f>
        <v>35624.639999999999</v>
      </c>
      <c r="M39" s="303">
        <f t="shared" si="1"/>
        <v>-23924.639999999999</v>
      </c>
      <c r="N39" s="303"/>
      <c r="O39" s="302"/>
      <c r="P39" s="303">
        <f t="shared" si="2"/>
        <v>46800</v>
      </c>
      <c r="Q39" s="303"/>
      <c r="R39" s="303">
        <f t="shared" si="3"/>
        <v>11175.36</v>
      </c>
    </row>
    <row r="40" spans="1:18" s="144" customFormat="1" ht="12">
      <c r="A40" s="302" t="s">
        <v>364</v>
      </c>
      <c r="B40" s="302"/>
      <c r="C40" s="303">
        <f>-'Month 1 OLD'!G23</f>
        <v>20000</v>
      </c>
      <c r="D40" s="303"/>
      <c r="E40" s="303">
        <f>'Month 2 rv'!R40</f>
        <v>16561</v>
      </c>
      <c r="F40" s="302"/>
      <c r="G40" s="303">
        <f>'assumptions updated'!M22</f>
        <v>0</v>
      </c>
      <c r="H40" s="303">
        <v>10236</v>
      </c>
      <c r="I40" s="303">
        <f t="shared" si="0"/>
        <v>-10236</v>
      </c>
      <c r="J40" s="303"/>
      <c r="K40" s="303">
        <f>G40+'Month 2 rv'!K40</f>
        <v>5000</v>
      </c>
      <c r="L40" s="303">
        <f>H40+'Month 2 rv'!L40</f>
        <v>13675</v>
      </c>
      <c r="M40" s="303">
        <f t="shared" si="1"/>
        <v>-8675</v>
      </c>
      <c r="N40" s="303"/>
      <c r="O40" s="302"/>
      <c r="P40" s="303">
        <f t="shared" si="2"/>
        <v>20000</v>
      </c>
      <c r="Q40" s="303"/>
      <c r="R40" s="303">
        <f t="shared" si="3"/>
        <v>6325</v>
      </c>
    </row>
    <row r="41" spans="1:18" s="144" customFormat="1" ht="12">
      <c r="A41" s="302" t="s">
        <v>365</v>
      </c>
      <c r="B41" s="302"/>
      <c r="C41" s="303">
        <f>-'Month 1 OLD'!G24</f>
        <v>203200</v>
      </c>
      <c r="D41" s="303"/>
      <c r="E41" s="303">
        <f>'Month 2 rv'!R41</f>
        <v>170323</v>
      </c>
      <c r="F41" s="302"/>
      <c r="G41" s="303">
        <f>'assumptions updated'!M34+'assumptions updated'!M43+'assumptions updated'!M44</f>
        <v>19333.333333333336</v>
      </c>
      <c r="H41" s="303">
        <f>-'Month 3 OLD'!C24</f>
        <v>18191</v>
      </c>
      <c r="I41" s="303">
        <f t="shared" si="0"/>
        <v>1142.3333333333358</v>
      </c>
      <c r="J41" s="303"/>
      <c r="K41" s="303">
        <f>G41+'Month 2 rv'!K41</f>
        <v>50800</v>
      </c>
      <c r="L41" s="303">
        <f>H41+'Month 2 rv'!L41</f>
        <v>51068</v>
      </c>
      <c r="M41" s="303">
        <f t="shared" si="1"/>
        <v>-268</v>
      </c>
      <c r="N41" s="303"/>
      <c r="O41" s="302"/>
      <c r="P41" s="303">
        <f t="shared" si="2"/>
        <v>203200</v>
      </c>
      <c r="Q41" s="303"/>
      <c r="R41" s="303">
        <f t="shared" si="3"/>
        <v>152132</v>
      </c>
    </row>
    <row r="42" spans="1:18">
      <c r="A42" s="304" t="s">
        <v>293</v>
      </c>
      <c r="B42" s="243"/>
      <c r="C42" s="309">
        <f>SUM(C32:C41)</f>
        <v>1245810</v>
      </c>
      <c r="D42" s="309"/>
      <c r="E42" s="309">
        <f>SUM(E32:E41)</f>
        <v>1057863.3999999999</v>
      </c>
      <c r="F42" s="243"/>
      <c r="G42" s="309">
        <f>SUM(G32:G41)</f>
        <v>126467.5</v>
      </c>
      <c r="H42" s="309">
        <f>SUM(H32:H41)</f>
        <v>128519.64</v>
      </c>
      <c r="I42" s="309">
        <f t="shared" si="0"/>
        <v>-2052.1399999999994</v>
      </c>
      <c r="J42" s="310"/>
      <c r="K42" s="309">
        <f>SUM(K32:K41)</f>
        <v>298785.83333333337</v>
      </c>
      <c r="L42" s="309">
        <f>SUM(L32:L41)</f>
        <v>316466.24</v>
      </c>
      <c r="M42" s="309">
        <f t="shared" si="1"/>
        <v>-17680.406666666619</v>
      </c>
      <c r="N42" s="310"/>
      <c r="O42" s="243"/>
      <c r="P42" s="309">
        <f>SUM(P32:P41)</f>
        <v>1245810</v>
      </c>
      <c r="Q42" s="310"/>
      <c r="R42" s="309">
        <f>SUM(R32:R41)</f>
        <v>929343.76</v>
      </c>
    </row>
    <row r="43" spans="1:18">
      <c r="H43"/>
    </row>
    <row r="44" spans="1:18">
      <c r="A44" s="2" t="s">
        <v>9</v>
      </c>
      <c r="G44" s="143"/>
      <c r="H44" s="143"/>
      <c r="I44" s="143"/>
    </row>
    <row r="45" spans="1:18">
      <c r="A45" s="234" t="s">
        <v>367</v>
      </c>
      <c r="B45" s="234"/>
      <c r="C45" s="301">
        <v>100000</v>
      </c>
      <c r="D45" s="301"/>
      <c r="E45" s="301">
        <f>'Month 2 rv'!R45</f>
        <v>83333.34</v>
      </c>
      <c r="F45" s="234"/>
      <c r="G45" s="311">
        <v>8333.3330000000005</v>
      </c>
      <c r="H45" s="311">
        <v>8333.33</v>
      </c>
      <c r="I45" s="301">
        <f>G45-H45</f>
        <v>3.0000000006111804E-3</v>
      </c>
      <c r="J45" s="234"/>
      <c r="K45" s="301">
        <f>G45+'Month 2 rv'!K45</f>
        <v>24999.999000000003</v>
      </c>
      <c r="L45" s="301">
        <f>H45+'Month 2 rv'!L45</f>
        <v>24999.989999999998</v>
      </c>
      <c r="M45" s="301">
        <f>K45-L45</f>
        <v>9.0000000054715201E-3</v>
      </c>
      <c r="N45" s="301"/>
      <c r="O45" s="234"/>
      <c r="P45" s="301">
        <f>C45</f>
        <v>100000</v>
      </c>
      <c r="Q45" s="301"/>
      <c r="R45" s="301">
        <f>E45-H45</f>
        <v>75000.009999999995</v>
      </c>
    </row>
    <row r="46" spans="1:18">
      <c r="A46" s="304" t="s">
        <v>338</v>
      </c>
      <c r="B46" s="304"/>
      <c r="C46" s="309">
        <f>C45</f>
        <v>100000</v>
      </c>
      <c r="D46" s="309"/>
      <c r="E46" s="309">
        <f>E45</f>
        <v>83333.34</v>
      </c>
      <c r="F46" s="304"/>
      <c r="G46" s="309">
        <f>G45</f>
        <v>8333.3330000000005</v>
      </c>
      <c r="H46" s="309">
        <f>H45</f>
        <v>8333.33</v>
      </c>
      <c r="I46" s="309">
        <f>G46-H46</f>
        <v>3.0000000006111804E-3</v>
      </c>
      <c r="J46" s="243"/>
      <c r="K46" s="309">
        <f>K45</f>
        <v>24999.999000000003</v>
      </c>
      <c r="L46" s="309">
        <f>L45</f>
        <v>24999.989999999998</v>
      </c>
      <c r="M46" s="309">
        <f>K46-L46</f>
        <v>9.0000000054715201E-3</v>
      </c>
      <c r="N46" s="243"/>
      <c r="O46" s="243"/>
      <c r="P46" s="309">
        <f>P45</f>
        <v>100000</v>
      </c>
      <c r="Q46" s="243"/>
      <c r="R46" s="309">
        <f>R45</f>
        <v>75000.009999999995</v>
      </c>
    </row>
    <row r="47" spans="1:18">
      <c r="H47"/>
    </row>
    <row r="48" spans="1:18">
      <c r="A48" s="2" t="s">
        <v>354</v>
      </c>
      <c r="H48"/>
    </row>
    <row r="49" spans="1:18" s="144" customFormat="1" ht="12">
      <c r="A49" s="300" t="s">
        <v>366</v>
      </c>
      <c r="B49" s="300"/>
      <c r="C49" s="301">
        <f>-'Month 1 OLD'!G25</f>
        <v>36000</v>
      </c>
      <c r="D49" s="301"/>
      <c r="E49" s="301">
        <f>'Month 2 rv'!R49</f>
        <v>30000</v>
      </c>
      <c r="F49" s="300"/>
      <c r="G49" s="301">
        <f>-'Month 3 OLD'!E25-'Month 2 rv'!K49</f>
        <v>3000</v>
      </c>
      <c r="H49" s="301">
        <f>-'Month 3 OLD'!C25</f>
        <v>3000</v>
      </c>
      <c r="I49" s="301">
        <f>G49-H49</f>
        <v>0</v>
      </c>
      <c r="J49" s="300"/>
      <c r="K49" s="301">
        <f>G49+'Month 2 rv'!K49</f>
        <v>9000</v>
      </c>
      <c r="L49" s="301">
        <f>H49+'Month 2 rv'!L49</f>
        <v>9000</v>
      </c>
      <c r="M49" s="301">
        <f>K49-L49</f>
        <v>0</v>
      </c>
      <c r="N49" s="300"/>
      <c r="O49" s="300"/>
      <c r="P49" s="301">
        <f>C49</f>
        <v>36000</v>
      </c>
      <c r="Q49" s="300"/>
      <c r="R49" s="301">
        <f>E49-H49</f>
        <v>27000</v>
      </c>
    </row>
    <row r="50" spans="1:18">
      <c r="A50" s="304" t="s">
        <v>355</v>
      </c>
      <c r="B50" s="243"/>
      <c r="C50" s="309">
        <f>C49</f>
        <v>36000</v>
      </c>
      <c r="D50" s="309"/>
      <c r="E50" s="309">
        <f>E49</f>
        <v>30000</v>
      </c>
      <c r="F50" s="312"/>
      <c r="G50" s="309">
        <f>G49</f>
        <v>3000</v>
      </c>
      <c r="H50" s="309">
        <f>H49</f>
        <v>3000</v>
      </c>
      <c r="I50" s="309">
        <f>I49</f>
        <v>0</v>
      </c>
      <c r="J50" s="243"/>
      <c r="K50" s="309">
        <f>K49</f>
        <v>9000</v>
      </c>
      <c r="L50" s="309">
        <f>L49</f>
        <v>9000</v>
      </c>
      <c r="M50" s="309">
        <f>M49</f>
        <v>0</v>
      </c>
      <c r="N50" s="243"/>
      <c r="O50" s="243"/>
      <c r="P50" s="309">
        <f>P49</f>
        <v>36000</v>
      </c>
      <c r="Q50" s="243"/>
      <c r="R50" s="309">
        <f>R49</f>
        <v>27000</v>
      </c>
    </row>
    <row r="51" spans="1:18">
      <c r="H51"/>
    </row>
    <row r="52" spans="1:18">
      <c r="A52" s="2" t="s">
        <v>295</v>
      </c>
      <c r="C52" s="143">
        <f>C50+C42+C46</f>
        <v>1381810</v>
      </c>
      <c r="D52" s="143"/>
      <c r="E52" s="143">
        <f>E50+E42+E46</f>
        <v>1171196.74</v>
      </c>
      <c r="F52" s="143"/>
      <c r="G52" s="143">
        <f>G50+G42+G46</f>
        <v>137800.83300000001</v>
      </c>
      <c r="H52" s="143">
        <f>H50+H42+H46</f>
        <v>139852.97</v>
      </c>
      <c r="I52" s="143">
        <f>I50+I42+I46</f>
        <v>-2052.1369999999988</v>
      </c>
      <c r="K52" s="143">
        <f>K50+K42+K46</f>
        <v>332785.83233333338</v>
      </c>
      <c r="L52" s="143">
        <f>L50+L42+L46</f>
        <v>350466.23</v>
      </c>
      <c r="M52" s="143">
        <f>M50+M42+M46</f>
        <v>-17680.397666666613</v>
      </c>
      <c r="P52" s="143">
        <f>P50+P42+P46</f>
        <v>1381810</v>
      </c>
      <c r="R52" s="143">
        <f>R50+R42+R46</f>
        <v>1031343.77</v>
      </c>
    </row>
    <row r="53" spans="1:18">
      <c r="H53"/>
    </row>
    <row r="54" spans="1:18">
      <c r="A54" s="2" t="s">
        <v>660</v>
      </c>
      <c r="C54" s="143">
        <f>C26+C52</f>
        <v>1997910</v>
      </c>
      <c r="D54" s="143"/>
      <c r="E54" s="143">
        <f>E26+E52</f>
        <v>1685111.74</v>
      </c>
      <c r="F54" s="143"/>
      <c r="G54" s="143">
        <f>G26+G52</f>
        <v>188439.18916438357</v>
      </c>
      <c r="H54" s="143">
        <f>H26+H52</f>
        <v>191713.97</v>
      </c>
      <c r="I54" s="143">
        <f>I26+I52</f>
        <v>-3274.7808356164423</v>
      </c>
      <c r="K54" s="143">
        <f>K26+K52</f>
        <v>488076.79123744299</v>
      </c>
      <c r="L54" s="143">
        <f>L26+L52</f>
        <v>504512.23</v>
      </c>
      <c r="M54" s="143">
        <f>M26+M52</f>
        <v>-16435.438762557013</v>
      </c>
      <c r="P54" s="143">
        <f>P26+P52</f>
        <v>1997910</v>
      </c>
      <c r="R54" s="143">
        <f>R26+R52</f>
        <v>1493397.77</v>
      </c>
    </row>
    <row r="55" spans="1:18">
      <c r="C55" s="142"/>
      <c r="D55" s="142"/>
      <c r="E55" s="142"/>
      <c r="F55" s="142"/>
      <c r="G55" s="142"/>
      <c r="I55" s="142"/>
      <c r="K55" s="142"/>
      <c r="L55" s="142"/>
      <c r="M55" s="142"/>
      <c r="P55" s="142"/>
      <c r="R55" s="142"/>
    </row>
    <row r="56" spans="1:18" ht="14">
      <c r="C56" s="221" t="s">
        <v>292</v>
      </c>
      <c r="D56" s="221"/>
      <c r="E56" s="221" t="s">
        <v>285</v>
      </c>
      <c r="F56" s="2"/>
      <c r="G56" s="221" t="s">
        <v>287</v>
      </c>
      <c r="H56" s="221" t="s">
        <v>287</v>
      </c>
      <c r="I56" s="222" t="s">
        <v>287</v>
      </c>
      <c r="J56" s="135"/>
      <c r="K56" s="221" t="s">
        <v>290</v>
      </c>
      <c r="L56" s="221" t="s">
        <v>290</v>
      </c>
      <c r="M56" s="221" t="s">
        <v>290</v>
      </c>
      <c r="N56" s="2"/>
      <c r="O56" s="224" t="s">
        <v>292</v>
      </c>
      <c r="P56" s="225" t="s">
        <v>348</v>
      </c>
      <c r="Q56" s="135"/>
      <c r="R56" s="221" t="s">
        <v>373</v>
      </c>
    </row>
    <row r="57" spans="1:18">
      <c r="C57" s="221" t="s">
        <v>288</v>
      </c>
      <c r="D57" s="221"/>
      <c r="E57" s="221" t="s">
        <v>286</v>
      </c>
      <c r="F57" s="2"/>
      <c r="G57" s="221" t="s">
        <v>288</v>
      </c>
      <c r="H57" s="223" t="s">
        <v>347</v>
      </c>
      <c r="I57" s="221" t="s">
        <v>321</v>
      </c>
      <c r="J57" s="135"/>
      <c r="K57" s="221" t="s">
        <v>288</v>
      </c>
      <c r="L57" s="221" t="s">
        <v>186</v>
      </c>
      <c r="M57" s="221" t="s">
        <v>321</v>
      </c>
      <c r="N57" s="2"/>
      <c r="O57" s="224" t="s">
        <v>288</v>
      </c>
      <c r="P57" s="225" t="s">
        <v>288</v>
      </c>
      <c r="Q57" s="135"/>
      <c r="R57" s="221" t="s">
        <v>286</v>
      </c>
    </row>
    <row r="58" spans="1:18">
      <c r="C58" s="135"/>
      <c r="D58" s="135"/>
      <c r="E58" s="135"/>
      <c r="F58" s="2"/>
      <c r="G58" s="135"/>
      <c r="H58" s="229"/>
      <c r="I58" s="135"/>
      <c r="J58" s="135"/>
      <c r="K58" s="135"/>
      <c r="L58" s="135"/>
      <c r="M58" s="135"/>
      <c r="N58" s="2"/>
      <c r="O58" s="135"/>
      <c r="P58" s="135"/>
      <c r="Q58" s="135"/>
      <c r="R58" s="142"/>
    </row>
    <row r="59" spans="1:18">
      <c r="A59" s="2" t="s">
        <v>297</v>
      </c>
      <c r="B59" s="2"/>
      <c r="C59" s="143">
        <f>C54</f>
        <v>1997910</v>
      </c>
      <c r="D59" s="143"/>
      <c r="E59" s="143">
        <f>E54</f>
        <v>1685111.74</v>
      </c>
      <c r="F59" s="143"/>
      <c r="G59" s="143">
        <f>G54</f>
        <v>188439.18916438357</v>
      </c>
      <c r="H59" s="143">
        <f>H54</f>
        <v>191713.97</v>
      </c>
      <c r="I59" s="143">
        <f>I54</f>
        <v>-3274.7808356164423</v>
      </c>
      <c r="K59" s="143">
        <f>K54</f>
        <v>488076.79123744299</v>
      </c>
      <c r="L59" s="143">
        <f>L54</f>
        <v>504512.23</v>
      </c>
      <c r="M59" s="143">
        <f>M54</f>
        <v>-16435.438762557013</v>
      </c>
      <c r="P59" s="143">
        <f>P54</f>
        <v>1997910</v>
      </c>
      <c r="R59" s="143">
        <f>R54</f>
        <v>1493397.77</v>
      </c>
    </row>
    <row r="60" spans="1:18">
      <c r="A60" s="2" t="s">
        <v>356</v>
      </c>
      <c r="B60" s="2"/>
    </row>
  </sheetData>
  <mergeCells count="4">
    <mergeCell ref="P1:R1"/>
    <mergeCell ref="P3:R4"/>
    <mergeCell ref="G5:I5"/>
    <mergeCell ref="K5:M5"/>
  </mergeCells>
  <phoneticPr fontId="16" type="noConversion"/>
  <pageMargins left="0.75" right="0.75" top="1" bottom="1" header="0.3" footer="0.3"/>
  <pageSetup paperSize="9" orientation="portrait" horizontalDpi="4294967292" verticalDpi="429496729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R62"/>
  <sheetViews>
    <sheetView showGridLines="0" zoomScale="120" zoomScaleNormal="120" workbookViewId="0">
      <selection activeCell="A30" sqref="A30"/>
    </sheetView>
  </sheetViews>
  <sheetFormatPr baseColWidth="10" defaultColWidth="8.83203125" defaultRowHeight="13"/>
  <cols>
    <col min="2" max="2" width="29.1640625" customWidth="1"/>
    <col min="3" max="3" width="11.83203125" hidden="1" customWidth="1"/>
    <col min="4" max="4" width="1.83203125" hidden="1" customWidth="1"/>
    <col min="5" max="5" width="11.83203125" hidden="1" customWidth="1"/>
    <col min="6" max="6" width="2.33203125" customWidth="1"/>
    <col min="7" max="7" width="13.83203125" customWidth="1"/>
    <col min="8" max="8" width="13.83203125" style="142" customWidth="1"/>
    <col min="9" max="9" width="13.83203125" customWidth="1"/>
    <col min="10" max="10" width="1.6640625" customWidth="1"/>
    <col min="11" max="13" width="13.83203125" customWidth="1"/>
    <col min="14" max="14" width="1.6640625" customWidth="1"/>
    <col min="15" max="15" width="12.6640625" hidden="1" customWidth="1"/>
    <col min="16" max="16" width="14.5" customWidth="1"/>
    <col min="17" max="17" width="1.6640625" customWidth="1"/>
    <col min="18" max="18" width="12.83203125" style="13" customWidth="1"/>
  </cols>
  <sheetData>
    <row r="1" spans="1:18" ht="18">
      <c r="A1" s="2" t="s">
        <v>450</v>
      </c>
      <c r="G1" s="220"/>
      <c r="H1" s="220"/>
      <c r="I1" s="220"/>
      <c r="J1" s="220"/>
      <c r="K1" s="220"/>
      <c r="L1" s="220"/>
      <c r="M1" s="220"/>
      <c r="P1" s="692" t="s">
        <v>298</v>
      </c>
      <c r="Q1" s="692"/>
      <c r="R1" s="692"/>
    </row>
    <row r="2" spans="1:18" hidden="1"/>
    <row r="3" spans="1:18" ht="18">
      <c r="A3" s="67" t="s">
        <v>442</v>
      </c>
      <c r="G3" s="220"/>
      <c r="I3" s="220"/>
      <c r="J3" s="220"/>
      <c r="K3" s="220"/>
      <c r="L3" s="220"/>
      <c r="M3" s="220"/>
      <c r="P3" s="691"/>
      <c r="Q3" s="691"/>
      <c r="R3" s="691"/>
    </row>
    <row r="4" spans="1:18">
      <c r="A4" s="2"/>
      <c r="P4" s="691"/>
      <c r="Q4" s="691"/>
      <c r="R4" s="691"/>
    </row>
    <row r="5" spans="1:18" ht="14">
      <c r="A5" s="314"/>
      <c r="B5" s="315"/>
      <c r="G5" s="697" t="s">
        <v>441</v>
      </c>
      <c r="H5" s="698"/>
      <c r="I5" s="699"/>
      <c r="K5" s="697" t="s">
        <v>443</v>
      </c>
      <c r="L5" s="698"/>
      <c r="M5" s="699"/>
      <c r="P5" s="329" t="s">
        <v>444</v>
      </c>
      <c r="R5" s="354" t="s">
        <v>446</v>
      </c>
    </row>
    <row r="6" spans="1:18">
      <c r="A6" s="316" t="s">
        <v>439</v>
      </c>
      <c r="B6" s="317" t="s">
        <v>440</v>
      </c>
      <c r="C6" s="221" t="s">
        <v>292</v>
      </c>
      <c r="D6" s="2"/>
      <c r="E6" s="221" t="s">
        <v>285</v>
      </c>
      <c r="F6" s="2"/>
      <c r="G6" s="320"/>
      <c r="H6" s="135"/>
      <c r="I6" s="321"/>
      <c r="J6" s="135"/>
      <c r="K6" s="320"/>
      <c r="L6" s="135"/>
      <c r="M6" s="325"/>
      <c r="N6" s="2"/>
      <c r="O6" s="224" t="s">
        <v>292</v>
      </c>
      <c r="P6" s="327" t="s">
        <v>445</v>
      </c>
      <c r="Q6" s="135"/>
      <c r="R6" s="352" t="s">
        <v>454</v>
      </c>
    </row>
    <row r="7" spans="1:18" ht="14" thickBot="1">
      <c r="A7" s="318"/>
      <c r="B7" s="20"/>
      <c r="C7" s="221" t="s">
        <v>288</v>
      </c>
      <c r="D7" s="2"/>
      <c r="E7" s="221" t="s">
        <v>286</v>
      </c>
      <c r="F7" s="2"/>
      <c r="G7" s="322" t="s">
        <v>288</v>
      </c>
      <c r="H7" s="323" t="s">
        <v>347</v>
      </c>
      <c r="I7" s="324" t="s">
        <v>321</v>
      </c>
      <c r="J7" s="135"/>
      <c r="K7" s="322" t="s">
        <v>288</v>
      </c>
      <c r="L7" s="326" t="s">
        <v>186</v>
      </c>
      <c r="M7" s="324" t="s">
        <v>321</v>
      </c>
      <c r="N7" s="2"/>
      <c r="O7" s="180" t="s">
        <v>288</v>
      </c>
      <c r="P7" s="328" t="s">
        <v>446</v>
      </c>
      <c r="Q7" s="135"/>
      <c r="R7" s="353" t="s">
        <v>455</v>
      </c>
    </row>
    <row r="8" spans="1:18" hidden="1"/>
    <row r="9" spans="1:18" hidden="1"/>
    <row r="10" spans="1:18" hidden="1">
      <c r="A10" s="67"/>
    </row>
    <row r="11" spans="1:18" ht="14" hidden="1">
      <c r="A11" s="141" t="s">
        <v>341</v>
      </c>
    </row>
    <row r="12" spans="1:18" ht="14" hidden="1">
      <c r="A12" s="141"/>
    </row>
    <row r="13" spans="1:18" ht="14">
      <c r="A13" s="141" t="s">
        <v>451</v>
      </c>
    </row>
    <row r="14" spans="1:18" s="144" customFormat="1" ht="12">
      <c r="A14" s="300" t="s">
        <v>349</v>
      </c>
      <c r="B14" s="300"/>
      <c r="C14" s="301">
        <f>-G14/$G$26*'Month 1 OLD'!$G$13</f>
        <v>481624.32692307699</v>
      </c>
      <c r="D14" s="301"/>
      <c r="E14" s="301">
        <f>'Month 2 rv'!R14</f>
        <v>401743.16826923081</v>
      </c>
      <c r="F14" s="300"/>
      <c r="G14" s="330">
        <f>'cashflow updated'!I21/-1.2*48/52+'cashflow updated'!I21/-1.2*0.015</f>
        <v>39585.561116965226</v>
      </c>
      <c r="H14" s="330">
        <f>-'Month 3 OLD'!$C$13*'Month 3 Libraries'!G14/'Month 3 Libraries'!$G$26</f>
        <v>40541.339423076926</v>
      </c>
      <c r="I14" s="330">
        <f>G14-H14</f>
        <v>-955.77830611170066</v>
      </c>
      <c r="J14" s="330"/>
      <c r="K14" s="330">
        <f>G14+'Month 2 rv'!K14</f>
        <v>121395.72075869337</v>
      </c>
      <c r="L14" s="330">
        <f>H14+'Month 2 rv'!L14</f>
        <v>120422.49807692308</v>
      </c>
      <c r="M14" s="330">
        <f>K14-L14</f>
        <v>973.22268177029036</v>
      </c>
      <c r="N14" s="330"/>
      <c r="O14" s="330"/>
      <c r="P14" s="330">
        <f>C14</f>
        <v>481624.32692307699</v>
      </c>
      <c r="Q14" s="300"/>
      <c r="R14" s="330">
        <f>E14-H14</f>
        <v>361201.82884615386</v>
      </c>
    </row>
    <row r="15" spans="1:18" s="144" customFormat="1" ht="12">
      <c r="A15" s="302" t="s">
        <v>350</v>
      </c>
      <c r="B15" s="302"/>
      <c r="C15" s="303">
        <f>-G15/$G$26*'Month 1 OLD'!$G$13</f>
        <v>0</v>
      </c>
      <c r="D15" s="303"/>
      <c r="E15" s="303">
        <f>'Month 2 rv'!R15</f>
        <v>0</v>
      </c>
      <c r="F15" s="302"/>
      <c r="G15" s="331">
        <v>0</v>
      </c>
      <c r="H15" s="331">
        <f>-'Month 3 OLD'!$C$13*'Month 3 Libraries'!G15/'Month 3 Libraries'!$G$26</f>
        <v>0</v>
      </c>
      <c r="I15" s="331">
        <f>G15-H15</f>
        <v>0</v>
      </c>
      <c r="J15" s="331"/>
      <c r="K15" s="331">
        <f>G15+'Month 2 rv'!K15</f>
        <v>0</v>
      </c>
      <c r="L15" s="331">
        <f>H15+'Month 2 rv'!L15</f>
        <v>0</v>
      </c>
      <c r="M15" s="331">
        <f>K15-L15</f>
        <v>0</v>
      </c>
      <c r="N15" s="331"/>
      <c r="O15" s="331"/>
      <c r="P15" s="331">
        <f>C15</f>
        <v>0</v>
      </c>
      <c r="Q15" s="302"/>
      <c r="R15" s="331">
        <f>E15-H15</f>
        <v>0</v>
      </c>
    </row>
    <row r="16" spans="1:18" s="144" customFormat="1">
      <c r="A16" s="304" t="s">
        <v>343</v>
      </c>
      <c r="B16" s="305"/>
      <c r="C16" s="306">
        <f>SUM(C14:C15)</f>
        <v>481624.32692307699</v>
      </c>
      <c r="D16" s="306"/>
      <c r="E16" s="306">
        <f>SUM(E14:E15)</f>
        <v>401743.16826923081</v>
      </c>
      <c r="F16" s="305"/>
      <c r="G16" s="332">
        <f>SUM(G14:G15)</f>
        <v>39585.561116965226</v>
      </c>
      <c r="H16" s="332">
        <f>SUM(H14:H15)</f>
        <v>40541.339423076926</v>
      </c>
      <c r="I16" s="332">
        <f>SUM(I14:I15)</f>
        <v>-955.77830611170066</v>
      </c>
      <c r="J16" s="332"/>
      <c r="K16" s="332">
        <f>SUM(K14:K15)</f>
        <v>121395.72075869337</v>
      </c>
      <c r="L16" s="332">
        <f>SUM(L14:L15)</f>
        <v>120422.49807692308</v>
      </c>
      <c r="M16" s="332">
        <f>SUM(M14:M15)</f>
        <v>973.22268177029036</v>
      </c>
      <c r="N16" s="332"/>
      <c r="O16" s="333"/>
      <c r="P16" s="332">
        <f>SUM(P14:P15)</f>
        <v>481624.32692307699</v>
      </c>
      <c r="Q16" s="307"/>
      <c r="R16" s="332">
        <f>SUM(R14:R15)</f>
        <v>361201.82884615386</v>
      </c>
    </row>
    <row r="17" spans="1:18" s="144" customFormat="1" ht="12">
      <c r="C17" s="145"/>
      <c r="D17" s="145"/>
      <c r="E17" s="145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R17" s="163"/>
    </row>
    <row r="18" spans="1:18">
      <c r="A18" s="152" t="s">
        <v>344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R18" s="163"/>
    </row>
    <row r="19" spans="1:18" s="144" customFormat="1" ht="12">
      <c r="A19" s="300" t="s">
        <v>351</v>
      </c>
      <c r="B19" s="300"/>
      <c r="C19" s="301">
        <f>-G19/$G$26*'Month 1 OLD'!$G$13</f>
        <v>39493.58974358975</v>
      </c>
      <c r="D19" s="301"/>
      <c r="E19" s="301">
        <f>'Month 2 rv'!R19</f>
        <v>32943.269230769234</v>
      </c>
      <c r="F19" s="300"/>
      <c r="G19" s="330">
        <f>'cashflow updated'!I21/-1.2*4/52</f>
        <v>3246.0484720758691</v>
      </c>
      <c r="H19" s="330">
        <f>-'Month 3 OLD'!$C$13*'Month 3 Libraries'!G19/'Month 3 Libraries'!$G$26</f>
        <v>3324.4230769230767</v>
      </c>
      <c r="I19" s="330">
        <f>G19-H19</f>
        <v>-78.374604847207593</v>
      </c>
      <c r="J19" s="330"/>
      <c r="K19" s="330">
        <f>G19+'Month 2 rv'!K19</f>
        <v>9954.5486476993319</v>
      </c>
      <c r="L19" s="330">
        <f>H19+'Month 2 rv'!L19</f>
        <v>9874.743589743588</v>
      </c>
      <c r="M19" s="330">
        <f>K19-L19</f>
        <v>79.805057955743905</v>
      </c>
      <c r="N19" s="330"/>
      <c r="O19" s="330"/>
      <c r="P19" s="330">
        <f>C19</f>
        <v>39493.58974358975</v>
      </c>
      <c r="Q19" s="300"/>
      <c r="R19" s="330">
        <f>E19-H19</f>
        <v>29618.846153846156</v>
      </c>
    </row>
    <row r="20" spans="1:18" s="144" customFormat="1" ht="12">
      <c r="A20" s="302" t="s">
        <v>352</v>
      </c>
      <c r="B20" s="302"/>
      <c r="C20" s="303">
        <f>-G20/$G$26*'Month 1 OLD'!$G$13</f>
        <v>20536.666666666668</v>
      </c>
      <c r="D20" s="303"/>
      <c r="E20" s="303">
        <f>'Month 2 rv'!R20</f>
        <v>17130.5</v>
      </c>
      <c r="F20" s="302"/>
      <c r="G20" s="331">
        <f>'cashflow updated'!I21/-1.2*0.04</f>
        <v>1687.9452054794519</v>
      </c>
      <c r="H20" s="331">
        <f>-'Month 3 OLD'!$C$13*'Month 3 Libraries'!G20/'Month 3 Libraries'!$G$26</f>
        <v>1728.7</v>
      </c>
      <c r="I20" s="331">
        <f>G20-H20</f>
        <v>-40.754794520548103</v>
      </c>
      <c r="J20" s="331"/>
      <c r="K20" s="331">
        <f>G20+'Month 2 rv'!K20</f>
        <v>5176.3652968036531</v>
      </c>
      <c r="L20" s="331">
        <f>H20+'Month 2 rv'!L20</f>
        <v>5134.8666666666659</v>
      </c>
      <c r="M20" s="331">
        <f>K20-L20</f>
        <v>41.498630136987231</v>
      </c>
      <c r="N20" s="331"/>
      <c r="O20" s="331"/>
      <c r="P20" s="331">
        <f>C20</f>
        <v>20536.666666666668</v>
      </c>
      <c r="Q20" s="302"/>
      <c r="R20" s="331">
        <f>E20-H20</f>
        <v>15401.8</v>
      </c>
    </row>
    <row r="21" spans="1:18" s="144" customFormat="1" ht="12">
      <c r="A21" s="302" t="s">
        <v>357</v>
      </c>
      <c r="B21" s="302"/>
      <c r="C21" s="303">
        <f>-G21/$G$26*'Month 1 OLD'!$G$13</f>
        <v>28237.916666666664</v>
      </c>
      <c r="D21" s="303"/>
      <c r="E21" s="303">
        <f>'Month 2 rv'!R21</f>
        <v>23554.4375</v>
      </c>
      <c r="F21" s="302"/>
      <c r="G21" s="331">
        <f>'cashflow updated'!I21/-1.2*0.055</f>
        <v>2320.9246575342463</v>
      </c>
      <c r="H21" s="331">
        <f>-'Month 3 OLD'!$C$13*'Month 3 Libraries'!G21/'Month 3 Libraries'!$G$26</f>
        <v>2376.9625000000001</v>
      </c>
      <c r="I21" s="331">
        <f>G21-H21</f>
        <v>-56.037842465753783</v>
      </c>
      <c r="J21" s="331"/>
      <c r="K21" s="331">
        <f>G21+'Month 2 rv'!K21</f>
        <v>7117.5022831050228</v>
      </c>
      <c r="L21" s="331">
        <f>H21+'Month 2 rv'!L21</f>
        <v>7060.4416666666657</v>
      </c>
      <c r="M21" s="331">
        <f>K21-L21</f>
        <v>57.060616438357101</v>
      </c>
      <c r="N21" s="331"/>
      <c r="O21" s="331"/>
      <c r="P21" s="331">
        <f>C21</f>
        <v>28237.916666666664</v>
      </c>
      <c r="Q21" s="302"/>
      <c r="R21" s="331">
        <f>E21-H21</f>
        <v>21177.474999999999</v>
      </c>
    </row>
    <row r="22" spans="1:18" s="144" customFormat="1" ht="12">
      <c r="A22" s="305" t="s">
        <v>353</v>
      </c>
      <c r="B22" s="305"/>
      <c r="C22" s="308">
        <f>-G22/$G$26*'Month 1 OLD'!$G$13</f>
        <v>46207.5</v>
      </c>
      <c r="D22" s="308"/>
      <c r="E22" s="308">
        <f>'Month 2 rv'!R22</f>
        <v>38543.624999999993</v>
      </c>
      <c r="F22" s="305"/>
      <c r="G22" s="333">
        <f>'cashflow updated'!I21/-1.2*0.09</f>
        <v>3797.8767123287666</v>
      </c>
      <c r="H22" s="333">
        <f>-'Month 3 OLD'!$C$13*'Month 3 Libraries'!G22/'Month 3 Libraries'!$G$26</f>
        <v>3889.5749999999998</v>
      </c>
      <c r="I22" s="333">
        <f>G22-H22</f>
        <v>-91.698287671233174</v>
      </c>
      <c r="J22" s="333"/>
      <c r="K22" s="333">
        <f>G22+'Month 2 rv'!K22</f>
        <v>11646.821917808218</v>
      </c>
      <c r="L22" s="333">
        <f>H22+'Month 2 rv'!L22</f>
        <v>11553.449999999997</v>
      </c>
      <c r="M22" s="333">
        <f>K22-L22</f>
        <v>93.371917808221042</v>
      </c>
      <c r="N22" s="333"/>
      <c r="O22" s="333"/>
      <c r="P22" s="333">
        <f>C22</f>
        <v>46207.5</v>
      </c>
      <c r="Q22" s="305"/>
      <c r="R22" s="333">
        <f>E22-H22</f>
        <v>34654.049999999996</v>
      </c>
    </row>
    <row r="23" spans="1:18" s="144" customFormat="1">
      <c r="A23"/>
      <c r="C23" s="145"/>
      <c r="D23" s="145"/>
      <c r="E23" s="145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R23" s="163"/>
    </row>
    <row r="24" spans="1:18" s="144" customFormat="1">
      <c r="A24" s="2" t="s">
        <v>345</v>
      </c>
      <c r="C24" s="164">
        <f>SUM(C19:C22)</f>
        <v>134475.67307692309</v>
      </c>
      <c r="D24" s="164"/>
      <c r="E24" s="164">
        <f>SUM(E19:E22)</f>
        <v>112171.83173076922</v>
      </c>
      <c r="G24" s="334">
        <f>SUM(G19:G22)</f>
        <v>11052.795047418334</v>
      </c>
      <c r="H24" s="334">
        <f>SUM(H19:H22)</f>
        <v>11319.660576923077</v>
      </c>
      <c r="I24" s="334">
        <f>SUM(I19:I22)</f>
        <v>-266.86552950474265</v>
      </c>
      <c r="J24" s="334"/>
      <c r="K24" s="334">
        <f>SUM(K19:K22)</f>
        <v>33895.238145416224</v>
      </c>
      <c r="L24" s="334">
        <f>SUM(L19:L22)</f>
        <v>33623.501923076918</v>
      </c>
      <c r="M24" s="334">
        <f>SUM(M19:M22)</f>
        <v>271.73622233930928</v>
      </c>
      <c r="N24" s="334"/>
      <c r="O24" s="163"/>
      <c r="P24" s="334">
        <f>SUM(P19:P22)</f>
        <v>134475.67307692309</v>
      </c>
      <c r="Q24" s="152"/>
      <c r="R24" s="334">
        <f>SUM(R19:R22)</f>
        <v>100852.17115384614</v>
      </c>
    </row>
    <row r="25" spans="1:18" s="144" customFormat="1" ht="12">
      <c r="C25" s="145"/>
      <c r="D25" s="145"/>
      <c r="E25" s="145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R25" s="163"/>
    </row>
    <row r="26" spans="1:18">
      <c r="A26" s="342" t="s">
        <v>452</v>
      </c>
      <c r="B26" s="343"/>
      <c r="C26" s="344">
        <f>C16+C24</f>
        <v>616100.00000000012</v>
      </c>
      <c r="D26" s="344"/>
      <c r="E26" s="344">
        <f>E16+E24</f>
        <v>513915</v>
      </c>
      <c r="F26" s="343"/>
      <c r="G26" s="345">
        <f>G16+G24</f>
        <v>50638.356164383556</v>
      </c>
      <c r="H26" s="345">
        <f>H16+H24</f>
        <v>51861</v>
      </c>
      <c r="I26" s="345">
        <f>I16+I24</f>
        <v>-1222.6438356164433</v>
      </c>
      <c r="J26" s="346"/>
      <c r="K26" s="345">
        <f>K16+K24</f>
        <v>155290.9589041096</v>
      </c>
      <c r="L26" s="345">
        <f>L16+L24</f>
        <v>154046</v>
      </c>
      <c r="M26" s="345">
        <f>M16+M24</f>
        <v>1244.9589041095996</v>
      </c>
      <c r="N26" s="346"/>
      <c r="O26" s="346"/>
      <c r="P26" s="345">
        <f>P16+P24</f>
        <v>616100.00000000012</v>
      </c>
      <c r="Q26" s="343"/>
      <c r="R26" s="345">
        <f>R16+R24</f>
        <v>462054</v>
      </c>
    </row>
    <row r="27" spans="1:18"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8" ht="14" hidden="1">
      <c r="C28" s="221" t="s">
        <v>292</v>
      </c>
      <c r="D28" s="221"/>
      <c r="E28" s="221" t="s">
        <v>285</v>
      </c>
      <c r="F28" s="2"/>
      <c r="G28" s="335" t="s">
        <v>287</v>
      </c>
      <c r="H28" s="335" t="s">
        <v>287</v>
      </c>
      <c r="I28" s="336" t="s">
        <v>287</v>
      </c>
      <c r="J28" s="337"/>
      <c r="K28" s="335" t="s">
        <v>290</v>
      </c>
      <c r="L28" s="335" t="s">
        <v>290</v>
      </c>
      <c r="M28" s="335" t="s">
        <v>290</v>
      </c>
      <c r="N28" s="14"/>
      <c r="O28" s="338" t="s">
        <v>292</v>
      </c>
      <c r="P28" s="339" t="s">
        <v>348</v>
      </c>
      <c r="Q28" s="135"/>
      <c r="R28" s="335" t="s">
        <v>373</v>
      </c>
    </row>
    <row r="29" spans="1:18" ht="14" hidden="1" thickBot="1">
      <c r="C29" s="221" t="s">
        <v>288</v>
      </c>
      <c r="D29" s="221"/>
      <c r="E29" s="221" t="s">
        <v>286</v>
      </c>
      <c r="F29" s="2"/>
      <c r="G29" s="335" t="s">
        <v>288</v>
      </c>
      <c r="H29" s="335" t="s">
        <v>347</v>
      </c>
      <c r="I29" s="335" t="s">
        <v>321</v>
      </c>
      <c r="J29" s="337"/>
      <c r="K29" s="335" t="s">
        <v>288</v>
      </c>
      <c r="L29" s="335" t="s">
        <v>186</v>
      </c>
      <c r="M29" s="335" t="s">
        <v>321</v>
      </c>
      <c r="N29" s="14"/>
      <c r="O29" s="340" t="s">
        <v>288</v>
      </c>
      <c r="P29" s="341" t="s">
        <v>288</v>
      </c>
      <c r="Q29" s="135"/>
      <c r="R29" s="335" t="s">
        <v>286</v>
      </c>
    </row>
    <row r="30" spans="1:18" ht="14">
      <c r="A30" s="141" t="s">
        <v>453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8">
      <c r="A31" s="2" t="s">
        <v>376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8" s="144" customFormat="1" ht="12">
      <c r="A32" s="300" t="s">
        <v>360</v>
      </c>
      <c r="B32" s="300"/>
      <c r="C32" s="301">
        <f>-'Month 1 OLD'!G15</f>
        <v>45000</v>
      </c>
      <c r="D32" s="301"/>
      <c r="E32" s="301">
        <f>'Month 2 rv'!R32</f>
        <v>33500</v>
      </c>
      <c r="F32" s="300"/>
      <c r="G32" s="330">
        <f>'assumptions updated'!M17</f>
        <v>0</v>
      </c>
      <c r="H32" s="330">
        <f>-'Month 3 OLD'!C15</f>
        <v>0</v>
      </c>
      <c r="I32" s="330">
        <f t="shared" ref="I32:I42" si="0">G32-H32</f>
        <v>0</v>
      </c>
      <c r="J32" s="330"/>
      <c r="K32" s="330">
        <f>G32+'Month 2 rv'!K32</f>
        <v>11250</v>
      </c>
      <c r="L32" s="330">
        <f>H32+'Month 2 rv'!L32</f>
        <v>11500</v>
      </c>
      <c r="M32" s="330">
        <f t="shared" ref="M32:M42" si="1">K32-L32</f>
        <v>-250</v>
      </c>
      <c r="N32" s="330"/>
      <c r="O32" s="330"/>
      <c r="P32" s="330">
        <f t="shared" ref="P32:P41" si="2">C32</f>
        <v>45000</v>
      </c>
      <c r="Q32" s="301"/>
      <c r="R32" s="330">
        <f>E32-H32</f>
        <v>33500</v>
      </c>
    </row>
    <row r="33" spans="1:18" s="144" customFormat="1" ht="12">
      <c r="A33" s="302" t="s">
        <v>361</v>
      </c>
      <c r="B33" s="302"/>
      <c r="C33" s="303">
        <f>-'Month 1 OLD'!G16</f>
        <v>91610</v>
      </c>
      <c r="D33" s="303"/>
      <c r="E33" s="303">
        <f>'Month 2 rv'!R33</f>
        <v>75701</v>
      </c>
      <c r="F33" s="302"/>
      <c r="G33" s="331">
        <f>'assumptions updated'!M19+'assumptions updated'!M23</f>
        <v>7634.166666666667</v>
      </c>
      <c r="H33" s="331">
        <f>-'Month 3 OLD'!C16</f>
        <v>6900</v>
      </c>
      <c r="I33" s="331">
        <f t="shared" si="0"/>
        <v>734.16666666666697</v>
      </c>
      <c r="J33" s="331"/>
      <c r="K33" s="331">
        <f>G33+'Month 2 rv'!K33</f>
        <v>22902.5</v>
      </c>
      <c r="L33" s="331">
        <f>H33+'Month 2 rv'!L33</f>
        <v>22809</v>
      </c>
      <c r="M33" s="331">
        <f t="shared" si="1"/>
        <v>93.5</v>
      </c>
      <c r="N33" s="331"/>
      <c r="O33" s="331"/>
      <c r="P33" s="331">
        <f t="shared" si="2"/>
        <v>91610</v>
      </c>
      <c r="Q33" s="303"/>
      <c r="R33" s="331">
        <f t="shared" ref="R33:R41" si="3">E33-H33</f>
        <v>68801</v>
      </c>
    </row>
    <row r="34" spans="1:18" s="144" customFormat="1" ht="12">
      <c r="A34" s="302" t="s">
        <v>362</v>
      </c>
      <c r="B34" s="302"/>
      <c r="C34" s="303">
        <f>-'Month 1 OLD'!G17</f>
        <v>395200</v>
      </c>
      <c r="D34" s="303"/>
      <c r="E34" s="303">
        <f>'Month 2 rv'!R34</f>
        <v>336239</v>
      </c>
      <c r="F34" s="302"/>
      <c r="G34" s="331">
        <f>'assumptions updated'!M26+'assumptions updated'!M27+'assumptions updated'!M28</f>
        <v>38000</v>
      </c>
      <c r="H34" s="331">
        <f>-'Month 3 OLD'!C17</f>
        <v>39740</v>
      </c>
      <c r="I34" s="331">
        <f t="shared" si="0"/>
        <v>-1740</v>
      </c>
      <c r="J34" s="331"/>
      <c r="K34" s="331">
        <f>G34+'Month 2 rv'!K34</f>
        <v>98800</v>
      </c>
      <c r="L34" s="331">
        <f>H34+'Month 2 rv'!L34</f>
        <v>98701</v>
      </c>
      <c r="M34" s="331">
        <f t="shared" si="1"/>
        <v>99</v>
      </c>
      <c r="N34" s="331"/>
      <c r="O34" s="331"/>
      <c r="P34" s="331">
        <f t="shared" si="2"/>
        <v>395200</v>
      </c>
      <c r="Q34" s="303"/>
      <c r="R34" s="331">
        <f t="shared" si="3"/>
        <v>296499</v>
      </c>
    </row>
    <row r="35" spans="1:18" s="144" customFormat="1" ht="12">
      <c r="A35" s="302" t="s">
        <v>363</v>
      </c>
      <c r="B35" s="302"/>
      <c r="C35" s="303">
        <f>-'Month 1 OLD'!G18</f>
        <v>72000</v>
      </c>
      <c r="D35" s="303"/>
      <c r="E35" s="303">
        <f>'Month 2 rv'!R35</f>
        <v>59366</v>
      </c>
      <c r="F35" s="302"/>
      <c r="G35" s="331">
        <f>'assumptions updated'!M35</f>
        <v>6000</v>
      </c>
      <c r="H35" s="331">
        <f>-'Month 3 OLD'!C18</f>
        <v>7757</v>
      </c>
      <c r="I35" s="331">
        <f t="shared" si="0"/>
        <v>-1757</v>
      </c>
      <c r="J35" s="331"/>
      <c r="K35" s="331">
        <f>G35+'Month 2 rv'!K35</f>
        <v>18000</v>
      </c>
      <c r="L35" s="331">
        <f>H35+'Month 2 rv'!L35</f>
        <v>20391</v>
      </c>
      <c r="M35" s="331">
        <f t="shared" si="1"/>
        <v>-2391</v>
      </c>
      <c r="N35" s="331"/>
      <c r="O35" s="331"/>
      <c r="P35" s="331">
        <f t="shared" si="2"/>
        <v>72000</v>
      </c>
      <c r="Q35" s="303"/>
      <c r="R35" s="331">
        <f t="shared" si="3"/>
        <v>51609</v>
      </c>
    </row>
    <row r="36" spans="1:18" s="144" customFormat="1" ht="12">
      <c r="A36" s="302" t="s">
        <v>359</v>
      </c>
      <c r="B36" s="302"/>
      <c r="C36" s="303">
        <f>-'Month 1 OLD'!G19</f>
        <v>168000</v>
      </c>
      <c r="D36" s="303"/>
      <c r="E36" s="303">
        <f>'Month 2 rv'!R36</f>
        <v>148577</v>
      </c>
      <c r="F36" s="302"/>
      <c r="G36" s="331">
        <f>SUM('assumptions updated'!M36:M41)</f>
        <v>36000</v>
      </c>
      <c r="H36" s="331">
        <f>-'Month 3 OLD'!C19</f>
        <v>18033</v>
      </c>
      <c r="I36" s="331">
        <f t="shared" si="0"/>
        <v>17967</v>
      </c>
      <c r="J36" s="331"/>
      <c r="K36" s="331">
        <f>G36+'Month 2 rv'!K36</f>
        <v>42000</v>
      </c>
      <c r="L36" s="331">
        <f>H36+'Month 2 rv'!L36</f>
        <v>37456</v>
      </c>
      <c r="M36" s="331">
        <f t="shared" si="1"/>
        <v>4544</v>
      </c>
      <c r="N36" s="331"/>
      <c r="O36" s="331"/>
      <c r="P36" s="331">
        <f t="shared" si="2"/>
        <v>168000</v>
      </c>
      <c r="Q36" s="303"/>
      <c r="R36" s="331">
        <f t="shared" si="3"/>
        <v>130544</v>
      </c>
    </row>
    <row r="37" spans="1:18" s="144" customFormat="1" ht="12">
      <c r="A37" s="302" t="s">
        <v>432</v>
      </c>
      <c r="B37" s="302"/>
      <c r="C37" s="303">
        <f>-'Month 1 OLD'!G20</f>
        <v>104000</v>
      </c>
      <c r="D37" s="303"/>
      <c r="E37" s="303">
        <f>'Month 2 rv'!R37</f>
        <v>85878.399999999994</v>
      </c>
      <c r="F37" s="302"/>
      <c r="G37" s="331">
        <f>'assumptions updated'!M20+'assumptions updated'!M21</f>
        <v>0</v>
      </c>
      <c r="H37" s="331">
        <f>-'Month 3 OLD'!C20</f>
        <v>0</v>
      </c>
      <c r="I37" s="331">
        <f t="shared" si="0"/>
        <v>0</v>
      </c>
      <c r="J37" s="331"/>
      <c r="K37" s="331">
        <f>G37+'Month 2 rv'!K37</f>
        <v>17333.333333333336</v>
      </c>
      <c r="L37" s="331">
        <f>H37+'Month 2 rv'!L37</f>
        <v>18121.599999999999</v>
      </c>
      <c r="M37" s="331">
        <f>K37-L37</f>
        <v>-788.26666666666279</v>
      </c>
      <c r="N37" s="331"/>
      <c r="O37" s="331"/>
      <c r="P37" s="331">
        <f>C37</f>
        <v>104000</v>
      </c>
      <c r="Q37" s="303"/>
      <c r="R37" s="331">
        <f>E37-H37</f>
        <v>85878.399999999994</v>
      </c>
    </row>
    <row r="38" spans="1:18" s="144" customFormat="1" ht="12">
      <c r="A38" s="302" t="s">
        <v>428</v>
      </c>
      <c r="B38" s="302"/>
      <c r="C38" s="303">
        <f>-'Month 1 OLD'!G21</f>
        <v>100000</v>
      </c>
      <c r="D38" s="303"/>
      <c r="E38" s="303">
        <f>'Month 2 rv'!R38</f>
        <v>100000</v>
      </c>
      <c r="F38" s="302"/>
      <c r="G38" s="331">
        <f>'assumptions updated'!M18</f>
        <v>3000</v>
      </c>
      <c r="H38" s="331">
        <f>-'Month 3 OLD'!C21</f>
        <v>7120</v>
      </c>
      <c r="I38" s="331">
        <f t="shared" si="0"/>
        <v>-4120</v>
      </c>
      <c r="J38" s="331"/>
      <c r="K38" s="331">
        <f>G38+'Month 2 rv'!K38</f>
        <v>9000</v>
      </c>
      <c r="L38" s="331">
        <f>H38+'Month 2 rv'!L38</f>
        <v>7120</v>
      </c>
      <c r="M38" s="331">
        <f t="shared" si="1"/>
        <v>1880</v>
      </c>
      <c r="N38" s="331"/>
      <c r="O38" s="331"/>
      <c r="P38" s="331">
        <f t="shared" si="2"/>
        <v>100000</v>
      </c>
      <c r="Q38" s="303"/>
      <c r="R38" s="331">
        <f t="shared" si="3"/>
        <v>92880</v>
      </c>
    </row>
    <row r="39" spans="1:18" s="144" customFormat="1" ht="12">
      <c r="A39" s="302" t="s">
        <v>358</v>
      </c>
      <c r="B39" s="302"/>
      <c r="C39" s="303">
        <f>-'Month 1 OLD'!G22</f>
        <v>46800</v>
      </c>
      <c r="D39" s="303"/>
      <c r="E39" s="303">
        <f>'Month 2 rv'!R39</f>
        <v>31718</v>
      </c>
      <c r="F39" s="302"/>
      <c r="G39" s="331">
        <f>'assumptions updated'!M33+'assumptions updated'!M32</f>
        <v>16500</v>
      </c>
      <c r="H39" s="331">
        <f>-'Month 3 OLD'!C22</f>
        <v>20542.64</v>
      </c>
      <c r="I39" s="331">
        <f t="shared" si="0"/>
        <v>-4042.6399999999994</v>
      </c>
      <c r="J39" s="331"/>
      <c r="K39" s="331">
        <f>G39+'Month 2 rv'!K39</f>
        <v>23700</v>
      </c>
      <c r="L39" s="331">
        <f>H39+'Month 2 rv'!L39</f>
        <v>35624.639999999999</v>
      </c>
      <c r="M39" s="331">
        <f t="shared" si="1"/>
        <v>-11924.64</v>
      </c>
      <c r="N39" s="331"/>
      <c r="O39" s="331"/>
      <c r="P39" s="331">
        <f t="shared" si="2"/>
        <v>46800</v>
      </c>
      <c r="Q39" s="303"/>
      <c r="R39" s="331">
        <f t="shared" si="3"/>
        <v>11175.36</v>
      </c>
    </row>
    <row r="40" spans="1:18" s="144" customFormat="1" ht="12">
      <c r="A40" s="302" t="s">
        <v>364</v>
      </c>
      <c r="B40" s="302"/>
      <c r="C40" s="303">
        <f>-'Month 1 OLD'!G23</f>
        <v>20000</v>
      </c>
      <c r="D40" s="303"/>
      <c r="E40" s="303">
        <f>'Month 2 rv'!R40</f>
        <v>16561</v>
      </c>
      <c r="F40" s="302"/>
      <c r="G40" s="331">
        <f>'assumptions updated'!M22</f>
        <v>0</v>
      </c>
      <c r="H40" s="331">
        <v>10236</v>
      </c>
      <c r="I40" s="331">
        <f t="shared" si="0"/>
        <v>-10236</v>
      </c>
      <c r="J40" s="331"/>
      <c r="K40" s="331">
        <f>G40+'Month 2 rv'!K40</f>
        <v>5000</v>
      </c>
      <c r="L40" s="331">
        <f>H40+'Month 2 rv'!L40</f>
        <v>13675</v>
      </c>
      <c r="M40" s="331">
        <f t="shared" si="1"/>
        <v>-8675</v>
      </c>
      <c r="N40" s="331"/>
      <c r="O40" s="331"/>
      <c r="P40" s="331">
        <f t="shared" si="2"/>
        <v>20000</v>
      </c>
      <c r="Q40" s="303"/>
      <c r="R40" s="331">
        <f t="shared" si="3"/>
        <v>6325</v>
      </c>
    </row>
    <row r="41" spans="1:18" s="144" customFormat="1" ht="12">
      <c r="A41" s="302" t="s">
        <v>365</v>
      </c>
      <c r="B41" s="302"/>
      <c r="C41" s="303">
        <f>-'Month 1 OLD'!G24</f>
        <v>203200</v>
      </c>
      <c r="D41" s="303"/>
      <c r="E41" s="303">
        <f>'Month 2 rv'!R41</f>
        <v>170323</v>
      </c>
      <c r="F41" s="302"/>
      <c r="G41" s="331">
        <f>'assumptions updated'!M34+'assumptions updated'!M43+'assumptions updated'!M44</f>
        <v>19333.333333333336</v>
      </c>
      <c r="H41" s="331">
        <f>-'Month 3 OLD'!C24</f>
        <v>18191</v>
      </c>
      <c r="I41" s="331">
        <f t="shared" si="0"/>
        <v>1142.3333333333358</v>
      </c>
      <c r="J41" s="331"/>
      <c r="K41" s="331">
        <f>G41+'Month 2 rv'!K41</f>
        <v>50800</v>
      </c>
      <c r="L41" s="331">
        <f>H41+'Month 2 rv'!L41</f>
        <v>51068</v>
      </c>
      <c r="M41" s="331">
        <f t="shared" si="1"/>
        <v>-268</v>
      </c>
      <c r="N41" s="331"/>
      <c r="O41" s="331"/>
      <c r="P41" s="331">
        <f t="shared" si="2"/>
        <v>203200</v>
      </c>
      <c r="Q41" s="303"/>
      <c r="R41" s="331">
        <f t="shared" si="3"/>
        <v>152132</v>
      </c>
    </row>
    <row r="42" spans="1:18">
      <c r="A42" s="304" t="s">
        <v>293</v>
      </c>
      <c r="B42" s="243"/>
      <c r="C42" s="309">
        <f>SUM(C32:C41)</f>
        <v>1245810</v>
      </c>
      <c r="D42" s="309"/>
      <c r="E42" s="309">
        <f>SUM(E32:E41)</f>
        <v>1057863.3999999999</v>
      </c>
      <c r="F42" s="243"/>
      <c r="G42" s="312">
        <f>SUM(G32:G41)</f>
        <v>126467.5</v>
      </c>
      <c r="H42" s="312">
        <f>SUM(H32:H41)</f>
        <v>128519.64</v>
      </c>
      <c r="I42" s="312">
        <f t="shared" si="0"/>
        <v>-2052.1399999999994</v>
      </c>
      <c r="J42" s="241"/>
      <c r="K42" s="312">
        <f>SUM(K32:K41)</f>
        <v>298785.83333333337</v>
      </c>
      <c r="L42" s="312">
        <f>SUM(L32:L41)</f>
        <v>316466.24</v>
      </c>
      <c r="M42" s="312">
        <f t="shared" si="1"/>
        <v>-17680.406666666619</v>
      </c>
      <c r="N42" s="241"/>
      <c r="O42" s="241"/>
      <c r="P42" s="312">
        <f>SUM(P32:P41)</f>
        <v>1245810</v>
      </c>
      <c r="Q42" s="310"/>
      <c r="R42" s="312">
        <f>SUM(R32:R41)</f>
        <v>929343.76</v>
      </c>
    </row>
    <row r="43" spans="1:18"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8">
      <c r="A44" s="2" t="s">
        <v>9</v>
      </c>
      <c r="G44" s="14"/>
      <c r="H44" s="14"/>
      <c r="I44" s="14"/>
      <c r="J44" s="13"/>
      <c r="K44" s="13"/>
      <c r="L44" s="13"/>
      <c r="M44" s="13"/>
      <c r="N44" s="13"/>
      <c r="O44" s="13"/>
      <c r="P44" s="13"/>
    </row>
    <row r="45" spans="1:18">
      <c r="A45" s="234" t="s">
        <v>367</v>
      </c>
      <c r="B45" s="234"/>
      <c r="C45" s="301">
        <v>100000</v>
      </c>
      <c r="D45" s="301"/>
      <c r="E45" s="301">
        <f>'Month 2 rv'!R45</f>
        <v>83333.34</v>
      </c>
      <c r="F45" s="234"/>
      <c r="G45" s="232">
        <v>8333.3330000000005</v>
      </c>
      <c r="H45" s="232">
        <v>8333.33</v>
      </c>
      <c r="I45" s="330">
        <f>G45-H45</f>
        <v>3.0000000006111804E-3</v>
      </c>
      <c r="J45" s="232"/>
      <c r="K45" s="330">
        <f>G45+'Month 2 rv'!K45</f>
        <v>24999.999000000003</v>
      </c>
      <c r="L45" s="330">
        <f>H45+'Month 2 rv'!L45</f>
        <v>24999.989999999998</v>
      </c>
      <c r="M45" s="330">
        <f>K45-L45</f>
        <v>9.0000000054715201E-3</v>
      </c>
      <c r="N45" s="330"/>
      <c r="O45" s="232"/>
      <c r="P45" s="330">
        <f>C45</f>
        <v>100000</v>
      </c>
      <c r="Q45" s="301"/>
      <c r="R45" s="330">
        <f>E45-H45</f>
        <v>75000.009999999995</v>
      </c>
    </row>
    <row r="46" spans="1:18">
      <c r="A46" s="304" t="s">
        <v>338</v>
      </c>
      <c r="B46" s="304"/>
      <c r="C46" s="309">
        <f>C45</f>
        <v>100000</v>
      </c>
      <c r="D46" s="309"/>
      <c r="E46" s="309">
        <f>E45</f>
        <v>83333.34</v>
      </c>
      <c r="F46" s="304"/>
      <c r="G46" s="312">
        <f>G45</f>
        <v>8333.3330000000005</v>
      </c>
      <c r="H46" s="312">
        <f>H45</f>
        <v>8333.33</v>
      </c>
      <c r="I46" s="312">
        <f>G46-H46</f>
        <v>3.0000000006111804E-3</v>
      </c>
      <c r="J46" s="241"/>
      <c r="K46" s="312">
        <f>K45</f>
        <v>24999.999000000003</v>
      </c>
      <c r="L46" s="312">
        <f>L45</f>
        <v>24999.989999999998</v>
      </c>
      <c r="M46" s="312">
        <f>K46-L46</f>
        <v>9.0000000054715201E-3</v>
      </c>
      <c r="N46" s="241"/>
      <c r="O46" s="241"/>
      <c r="P46" s="312">
        <f>P45</f>
        <v>100000</v>
      </c>
      <c r="Q46" s="243"/>
      <c r="R46" s="312">
        <f>R45</f>
        <v>75000.009999999995</v>
      </c>
    </row>
    <row r="47" spans="1:18"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8">
      <c r="A48" s="2" t="s">
        <v>354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8" s="144" customFormat="1" ht="12">
      <c r="A49" s="300" t="s">
        <v>366</v>
      </c>
      <c r="B49" s="300"/>
      <c r="C49" s="301">
        <f>-'Month 1 OLD'!G25</f>
        <v>36000</v>
      </c>
      <c r="D49" s="301"/>
      <c r="E49" s="301">
        <f>'Month 2 rv'!R49</f>
        <v>30000</v>
      </c>
      <c r="F49" s="300"/>
      <c r="G49" s="330">
        <f>-'Month 3 OLD'!E25-'Month 2 rv'!K49</f>
        <v>3000</v>
      </c>
      <c r="H49" s="330">
        <f>-'Month 3 OLD'!C25</f>
        <v>3000</v>
      </c>
      <c r="I49" s="330">
        <f>G49-H49</f>
        <v>0</v>
      </c>
      <c r="J49" s="330"/>
      <c r="K49" s="330">
        <f>G49+'Month 2 rv'!K49</f>
        <v>9000</v>
      </c>
      <c r="L49" s="330">
        <f>H49+'Month 2 rv'!L49</f>
        <v>9000</v>
      </c>
      <c r="M49" s="330">
        <f>K49-L49</f>
        <v>0</v>
      </c>
      <c r="N49" s="330"/>
      <c r="O49" s="330"/>
      <c r="P49" s="330">
        <f>C49</f>
        <v>36000</v>
      </c>
      <c r="Q49" s="300"/>
      <c r="R49" s="330">
        <f>E49-H49</f>
        <v>27000</v>
      </c>
    </row>
    <row r="50" spans="1:18">
      <c r="A50" s="304" t="s">
        <v>355</v>
      </c>
      <c r="B50" s="243"/>
      <c r="C50" s="309">
        <f>C49</f>
        <v>36000</v>
      </c>
      <c r="D50" s="309"/>
      <c r="E50" s="309">
        <f>E49</f>
        <v>30000</v>
      </c>
      <c r="F50" s="312"/>
      <c r="G50" s="312">
        <f>G49</f>
        <v>3000</v>
      </c>
      <c r="H50" s="312">
        <f>H49</f>
        <v>3000</v>
      </c>
      <c r="I50" s="312">
        <f>I49</f>
        <v>0</v>
      </c>
      <c r="J50" s="241"/>
      <c r="K50" s="312">
        <f>K49</f>
        <v>9000</v>
      </c>
      <c r="L50" s="312">
        <f>L49</f>
        <v>9000</v>
      </c>
      <c r="M50" s="312">
        <f>M49</f>
        <v>0</v>
      </c>
      <c r="N50" s="241"/>
      <c r="O50" s="241"/>
      <c r="P50" s="312">
        <f>P49</f>
        <v>36000</v>
      </c>
      <c r="Q50" s="243"/>
      <c r="R50" s="312">
        <f>R49</f>
        <v>27000</v>
      </c>
    </row>
    <row r="51" spans="1:18"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8">
      <c r="A52" s="342" t="s">
        <v>448</v>
      </c>
      <c r="B52" s="343"/>
      <c r="C52" s="344">
        <f>C50+C42+C46</f>
        <v>1381810</v>
      </c>
      <c r="D52" s="344"/>
      <c r="E52" s="344">
        <f>E50+E42+E46</f>
        <v>1171196.74</v>
      </c>
      <c r="F52" s="344"/>
      <c r="G52" s="345">
        <f>G50+G42+G46</f>
        <v>137800.83300000001</v>
      </c>
      <c r="H52" s="345">
        <f>H50+H42+H46</f>
        <v>139852.97</v>
      </c>
      <c r="I52" s="345">
        <f>I50+I42+I46</f>
        <v>-2052.1369999999988</v>
      </c>
      <c r="J52" s="346"/>
      <c r="K52" s="345">
        <f>K50+K42+K46</f>
        <v>332785.83233333338</v>
      </c>
      <c r="L52" s="345">
        <f>L50+L42+L46</f>
        <v>350466.23</v>
      </c>
      <c r="M52" s="345">
        <f>M50+M42+M46</f>
        <v>-17680.397666666613</v>
      </c>
      <c r="N52" s="346"/>
      <c r="O52" s="346"/>
      <c r="P52" s="345">
        <f>P50+P42+P46</f>
        <v>1381810</v>
      </c>
      <c r="Q52" s="343"/>
      <c r="R52" s="345">
        <f>R50+R42+R46</f>
        <v>1031343.77</v>
      </c>
    </row>
    <row r="53" spans="1:18" ht="7" customHeight="1"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8">
      <c r="A54" s="2" t="s">
        <v>449</v>
      </c>
      <c r="G54" s="14">
        <f>G26+G52</f>
        <v>188439.18916438357</v>
      </c>
      <c r="H54" s="14">
        <f>H26+H52</f>
        <v>191713.97</v>
      </c>
      <c r="I54" s="14">
        <f>G54-H54</f>
        <v>-3274.7808356164314</v>
      </c>
      <c r="J54" s="13"/>
      <c r="K54" s="14">
        <f>K26+K52</f>
        <v>488076.79123744299</v>
      </c>
      <c r="L54" s="14">
        <f>L26+L52</f>
        <v>504512.23</v>
      </c>
      <c r="M54" s="14">
        <f>K54-L54</f>
        <v>-16435.438762556994</v>
      </c>
      <c r="N54" s="13"/>
      <c r="O54" s="13"/>
      <c r="P54" s="14">
        <f>P26+P52</f>
        <v>1997910</v>
      </c>
      <c r="R54" s="14">
        <f>R26+R52</f>
        <v>1493397.77</v>
      </c>
    </row>
    <row r="55" spans="1:18" ht="7" customHeight="1"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8" ht="14" thickBot="1">
      <c r="A56" s="347" t="s">
        <v>447</v>
      </c>
      <c r="B56" s="348"/>
      <c r="C56" s="349">
        <f>C26+C52</f>
        <v>1997910</v>
      </c>
      <c r="D56" s="349"/>
      <c r="E56" s="349">
        <f>E26+E52</f>
        <v>1685111.74</v>
      </c>
      <c r="F56" s="349"/>
      <c r="G56" s="350">
        <f>-(G26+G52)</f>
        <v>-188439.18916438357</v>
      </c>
      <c r="H56" s="350">
        <f>-(H26+H52)</f>
        <v>-191713.97</v>
      </c>
      <c r="I56" s="350">
        <f>I26+I52</f>
        <v>-3274.7808356164423</v>
      </c>
      <c r="J56" s="351"/>
      <c r="K56" s="350">
        <f>K26+K52</f>
        <v>488076.79123744299</v>
      </c>
      <c r="L56" s="350">
        <f>L26+L52</f>
        <v>504512.23</v>
      </c>
      <c r="M56" s="350">
        <f>M26+M52</f>
        <v>-16435.438762557013</v>
      </c>
      <c r="N56" s="351"/>
      <c r="O56" s="351"/>
      <c r="P56" s="350">
        <f>P26+P52</f>
        <v>1997910</v>
      </c>
      <c r="Q56" s="348"/>
      <c r="R56" s="350">
        <f>R26+R52</f>
        <v>1493397.77</v>
      </c>
    </row>
    <row r="57" spans="1:18" ht="14" thickTop="1">
      <c r="C57" s="142"/>
      <c r="D57" s="142"/>
      <c r="E57" s="142"/>
      <c r="F57" s="142"/>
      <c r="G57" s="142"/>
      <c r="I57" s="142"/>
      <c r="K57" s="142"/>
      <c r="L57" s="142"/>
      <c r="M57" s="142"/>
      <c r="P57" s="142"/>
    </row>
    <row r="58" spans="1:18">
      <c r="C58" s="135"/>
      <c r="D58" s="135"/>
      <c r="E58" s="135"/>
      <c r="F58" s="2"/>
      <c r="G58" s="135"/>
      <c r="H58" s="135"/>
      <c r="I58" s="319"/>
      <c r="J58" s="135"/>
      <c r="K58" s="135"/>
      <c r="L58" s="135"/>
      <c r="M58" s="135"/>
      <c r="N58" s="2"/>
      <c r="O58" s="135"/>
      <c r="P58" s="135"/>
      <c r="Q58" s="135"/>
      <c r="R58" s="337"/>
    </row>
    <row r="59" spans="1:18">
      <c r="C59" s="135"/>
      <c r="D59" s="135"/>
      <c r="E59" s="135"/>
      <c r="F59" s="2"/>
      <c r="G59" s="135"/>
      <c r="H59" s="229"/>
      <c r="I59" s="135"/>
      <c r="J59" s="135"/>
      <c r="K59" s="135"/>
      <c r="L59" s="135"/>
      <c r="M59" s="135"/>
      <c r="N59" s="2"/>
      <c r="O59" s="135"/>
      <c r="P59" s="135"/>
      <c r="Q59" s="135"/>
      <c r="R59" s="337"/>
    </row>
    <row r="60" spans="1:18">
      <c r="C60" s="135"/>
      <c r="D60" s="135"/>
      <c r="E60" s="135"/>
      <c r="F60" s="2"/>
      <c r="G60" s="135"/>
      <c r="H60" s="229"/>
      <c r="I60" s="135"/>
      <c r="J60" s="135"/>
      <c r="K60" s="135"/>
      <c r="L60" s="135"/>
      <c r="M60" s="135"/>
      <c r="N60" s="2"/>
      <c r="O60" s="135"/>
      <c r="P60" s="135"/>
      <c r="Q60" s="135"/>
    </row>
    <row r="61" spans="1:18">
      <c r="A61" s="2"/>
      <c r="B61" s="2"/>
      <c r="C61" s="143"/>
      <c r="D61" s="143"/>
      <c r="E61" s="143"/>
      <c r="F61" s="143"/>
      <c r="G61" s="143"/>
      <c r="H61" s="143"/>
      <c r="I61" s="143"/>
      <c r="K61" s="143"/>
      <c r="L61" s="143"/>
      <c r="M61" s="143"/>
      <c r="P61" s="143"/>
      <c r="R61" s="14"/>
    </row>
    <row r="62" spans="1:18">
      <c r="A62" s="2"/>
      <c r="B62" s="2"/>
    </row>
  </sheetData>
  <mergeCells count="4">
    <mergeCell ref="P1:R1"/>
    <mergeCell ref="P3:R4"/>
    <mergeCell ref="G5:I5"/>
    <mergeCell ref="K5:M5"/>
  </mergeCells>
  <pageMargins left="0.75" right="0.75" top="1" bottom="1" header="0.3" footer="0.3"/>
  <pageSetup paperSize="9" orientation="portrait" horizontalDpi="4294967292" verticalDpi="429496729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3:AC39"/>
  <sheetViews>
    <sheetView tabSelected="1" zoomScale="120" zoomScaleNormal="120" workbookViewId="0">
      <selection activeCell="AC15" sqref="AC15"/>
    </sheetView>
  </sheetViews>
  <sheetFormatPr baseColWidth="10" defaultRowHeight="15"/>
  <cols>
    <col min="2" max="2" width="7" style="375" bestFit="1" customWidth="1"/>
    <col min="3" max="3" width="28.1640625" style="375" bestFit="1" customWidth="1"/>
    <col min="4" max="4" width="32.1640625" style="375" hidden="1" customWidth="1"/>
    <col min="5" max="5" width="10.83203125" style="383"/>
    <col min="6" max="8" width="10.83203125" style="375"/>
    <col min="9" max="9" width="2.83203125" customWidth="1"/>
    <col min="10" max="10" width="2.83203125" hidden="1" customWidth="1"/>
    <col min="11" max="11" width="8.83203125" hidden="1" customWidth="1"/>
    <col min="12" max="14" width="8.83203125" style="403" hidden="1" customWidth="1"/>
    <col min="15" max="23" width="8.83203125" hidden="1" customWidth="1"/>
    <col min="24" max="24" width="9.33203125" hidden="1" customWidth="1"/>
    <col min="25" max="25" width="9.1640625" bestFit="1" customWidth="1"/>
    <col min="26" max="26" width="2.83203125" customWidth="1"/>
    <col min="27" max="27" width="10" bestFit="1" customWidth="1"/>
  </cols>
  <sheetData>
    <row r="3" spans="1:29" ht="48">
      <c r="A3" s="358"/>
      <c r="B3" s="386"/>
      <c r="C3" s="378"/>
      <c r="D3" s="378"/>
      <c r="E3" s="381" t="s">
        <v>456</v>
      </c>
      <c r="F3" s="359" t="s">
        <v>457</v>
      </c>
      <c r="G3" s="360" t="s">
        <v>290</v>
      </c>
      <c r="H3" s="407" t="s">
        <v>458</v>
      </c>
      <c r="I3" s="394"/>
      <c r="J3" s="395"/>
      <c r="K3" s="361" t="s">
        <v>459</v>
      </c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2"/>
      <c r="Y3" s="389" t="s">
        <v>292</v>
      </c>
      <c r="Z3" s="391"/>
      <c r="AA3" s="409" t="s">
        <v>460</v>
      </c>
      <c r="AB3" s="363"/>
      <c r="AC3" s="364"/>
    </row>
    <row r="4" spans="1:29">
      <c r="A4" s="358"/>
      <c r="B4" s="386"/>
      <c r="C4" s="378"/>
      <c r="D4" s="378"/>
      <c r="E4" s="382" t="s">
        <v>464</v>
      </c>
      <c r="F4" s="365" t="s">
        <v>464</v>
      </c>
      <c r="G4" s="366" t="s">
        <v>18</v>
      </c>
      <c r="H4" s="408"/>
      <c r="I4" s="396"/>
      <c r="J4" s="396"/>
      <c r="K4" s="393" t="s">
        <v>461</v>
      </c>
      <c r="L4" s="397" t="s">
        <v>465</v>
      </c>
      <c r="M4" s="397" t="s">
        <v>466</v>
      </c>
      <c r="N4" s="397" t="s">
        <v>467</v>
      </c>
      <c r="O4" s="365" t="s">
        <v>468</v>
      </c>
      <c r="P4" s="365" t="s">
        <v>469</v>
      </c>
      <c r="Q4" s="365" t="s">
        <v>470</v>
      </c>
      <c r="R4" s="365" t="s">
        <v>471</v>
      </c>
      <c r="S4" s="365" t="s">
        <v>472</v>
      </c>
      <c r="T4" s="365" t="s">
        <v>473</v>
      </c>
      <c r="U4" s="365" t="s">
        <v>474</v>
      </c>
      <c r="V4" s="365" t="s">
        <v>475</v>
      </c>
      <c r="W4" s="365" t="s">
        <v>476</v>
      </c>
      <c r="X4" s="367" t="s">
        <v>462</v>
      </c>
      <c r="Y4" s="390" t="s">
        <v>463</v>
      </c>
      <c r="Z4" s="391"/>
      <c r="AA4" s="366" t="s">
        <v>288</v>
      </c>
      <c r="AB4" s="368"/>
      <c r="AC4" s="369" t="s">
        <v>101</v>
      </c>
    </row>
    <row r="5" spans="1:29">
      <c r="G5" s="388"/>
      <c r="K5" s="388"/>
      <c r="L5" s="402"/>
      <c r="M5" s="402"/>
      <c r="N5" s="402"/>
      <c r="AA5" s="401"/>
    </row>
    <row r="6" spans="1:29">
      <c r="G6" s="388"/>
      <c r="K6" s="388"/>
      <c r="L6" s="402"/>
      <c r="M6" s="402"/>
      <c r="N6" s="402"/>
      <c r="AA6" s="401"/>
    </row>
    <row r="7" spans="1:29">
      <c r="B7" s="370"/>
      <c r="C7" s="371" t="s">
        <v>477</v>
      </c>
      <c r="D7" s="371"/>
      <c r="G7" s="388"/>
      <c r="K7" s="388"/>
      <c r="L7" s="402"/>
      <c r="M7" s="402"/>
      <c r="N7" s="402"/>
      <c r="AA7" s="401"/>
    </row>
    <row r="8" spans="1:29">
      <c r="B8" s="372"/>
      <c r="G8" s="388"/>
      <c r="K8" s="388"/>
      <c r="L8" s="402"/>
      <c r="M8" s="402"/>
      <c r="N8" s="402"/>
      <c r="AA8" s="401"/>
    </row>
    <row r="9" spans="1:29">
      <c r="B9" s="372">
        <v>71113</v>
      </c>
      <c r="C9" s="373" t="s">
        <v>480</v>
      </c>
      <c r="D9" s="373"/>
      <c r="E9" s="383">
        <f>'Month 3 rv'!L14</f>
        <v>120422.49807692308</v>
      </c>
      <c r="F9" s="383">
        <f>'Month 3 rv'!K14</f>
        <v>121395.72075869337</v>
      </c>
      <c r="G9" s="385">
        <f>F9-E9</f>
        <v>973.22268177029036</v>
      </c>
      <c r="H9" s="383">
        <f>'Month 3 rv'!C14</f>
        <v>481624.32692307699</v>
      </c>
      <c r="K9" s="400">
        <f>AVERAGE(L9:N9)</f>
        <v>40140.832692307689</v>
      </c>
      <c r="L9" s="398">
        <f>'Month 1 rv'!H14</f>
        <v>39545.414423076923</v>
      </c>
      <c r="M9" s="398">
        <f>'Month 2 rv'!H14</f>
        <v>40335.744230769233</v>
      </c>
      <c r="N9" s="398">
        <f>'Month 3 rv'!H14</f>
        <v>40541.339423076926</v>
      </c>
      <c r="O9" s="383">
        <f>'assumptions updated'!N$7-O10-O11-O12-O13</f>
        <v>40905.07982086407</v>
      </c>
      <c r="P9" s="383">
        <f>'assumptions updated'!O$7-P10-P11-P12-P13</f>
        <v>39585.561116965218</v>
      </c>
      <c r="Q9" s="383">
        <f>'assumptions updated'!P$7-Q10-Q11-Q12-Q13</f>
        <v>40905.07982086407</v>
      </c>
      <c r="R9" s="383">
        <f>'assumptions updated'!Q$7-R10-R11-R12-R13</f>
        <v>40905.07982086407</v>
      </c>
      <c r="S9" s="383">
        <f>'assumptions updated'!R$7-S10-S11-S12-S13</f>
        <v>36946.523709167544</v>
      </c>
      <c r="T9" s="383">
        <f>'assumptions updated'!S$7-T10-T11-T12-T13</f>
        <v>40905.07982086407</v>
      </c>
      <c r="U9" s="383">
        <f>'assumptions updated'!T$7-U10-U11-U12-U13</f>
        <v>39585.561116965218</v>
      </c>
      <c r="V9" s="383">
        <f>'assumptions updated'!U$7-V10-V11-V12-V13</f>
        <v>40905.07982086407</v>
      </c>
      <c r="W9" s="383">
        <f>'assumptions updated'!V$7-W10-W11-W12-W13</f>
        <v>39585.561116965218</v>
      </c>
      <c r="Y9" s="383">
        <f>SUM(L9:X9)</f>
        <v>480651.1042413066</v>
      </c>
      <c r="AA9" s="405">
        <f>H9-Y9</f>
        <v>973.22268177039223</v>
      </c>
    </row>
    <row r="10" spans="1:29">
      <c r="B10" s="376">
        <v>71211</v>
      </c>
      <c r="C10" s="375" t="s">
        <v>481</v>
      </c>
      <c r="E10" s="383">
        <f>'Month 3 rv'!L19</f>
        <v>9874.743589743588</v>
      </c>
      <c r="F10" s="383">
        <f>'Month 3 rv'!K19</f>
        <v>9954.5486476993319</v>
      </c>
      <c r="G10" s="385">
        <f>F10-E10</f>
        <v>79.805057955743905</v>
      </c>
      <c r="H10" s="383">
        <f>'Month 3 rv'!C19</f>
        <v>39493.58974358975</v>
      </c>
      <c r="K10" s="400">
        <f>AVERAGE(L10:N10)</f>
        <v>3291.5811965811959</v>
      </c>
      <c r="L10" s="398">
        <f>'Month 1 rv'!H19</f>
        <v>3242.7564102564097</v>
      </c>
      <c r="M10" s="398">
        <f>'Month 2 rv'!H19</f>
        <v>3307.5641025641021</v>
      </c>
      <c r="N10" s="398">
        <f>'Month 3 rv'!H19</f>
        <v>3324.4230769230767</v>
      </c>
      <c r="O10" s="383">
        <f>'assumptions updated'!N$7/1.2*4/52</f>
        <v>3354.2500878117312</v>
      </c>
      <c r="P10" s="383">
        <f>'assumptions updated'!O$7/1.2*4/52</f>
        <v>3246.0484720758691</v>
      </c>
      <c r="Q10" s="383">
        <f>'assumptions updated'!P$7/1.2*4/52</f>
        <v>3354.2500878117312</v>
      </c>
      <c r="R10" s="383">
        <f>'assumptions updated'!Q$7/1.2*4/52</f>
        <v>3354.2500878117312</v>
      </c>
      <c r="S10" s="383">
        <f>'assumptions updated'!R$7/1.2*4/52</f>
        <v>3029.6452406041444</v>
      </c>
      <c r="T10" s="383">
        <f>'assumptions updated'!S$7/1.2*4/52</f>
        <v>3354.2500878117312</v>
      </c>
      <c r="U10" s="383">
        <f>'assumptions updated'!T$7/1.2*4/52</f>
        <v>3246.0484720758691</v>
      </c>
      <c r="V10" s="383">
        <f>'assumptions updated'!U$7/1.2*4/52</f>
        <v>3354.2500878117312</v>
      </c>
      <c r="W10" s="383">
        <f>'assumptions updated'!V$7/1.2*4/52</f>
        <v>3246.0484720758691</v>
      </c>
      <c r="Y10" s="383">
        <f>SUM(L10:X10)</f>
        <v>39413.784685633997</v>
      </c>
      <c r="AA10" s="405">
        <f>H10-Y10</f>
        <v>79.805057955753</v>
      </c>
    </row>
    <row r="11" spans="1:29">
      <c r="B11" s="372">
        <v>71251</v>
      </c>
      <c r="C11" s="373" t="s">
        <v>482</v>
      </c>
      <c r="D11" s="373"/>
      <c r="E11" s="383">
        <f>'Month 3 rv'!L20</f>
        <v>5134.8666666666659</v>
      </c>
      <c r="F11" s="383">
        <f>'Month 3 rv'!K20</f>
        <v>5176.3652968036531</v>
      </c>
      <c r="G11" s="385">
        <f>F11-E11</f>
        <v>41.498630136987231</v>
      </c>
      <c r="H11" s="383">
        <f>'Month 3 rv'!C20</f>
        <v>20536.666666666668</v>
      </c>
      <c r="K11" s="400">
        <f>AVERAGE(L11:N11)</f>
        <v>1711.622222222222</v>
      </c>
      <c r="L11" s="398">
        <f>'Month 1 rv'!H20</f>
        <v>1686.2333333333331</v>
      </c>
      <c r="M11" s="398">
        <f>'Month 2 rv'!H20</f>
        <v>1719.9333333333332</v>
      </c>
      <c r="N11" s="398">
        <f>'Month 3 rv'!H20</f>
        <v>1728.7</v>
      </c>
      <c r="O11" s="383">
        <f>'assumptions updated'!N$7/1.2*0.04</f>
        <v>1744.2100456621004</v>
      </c>
      <c r="P11" s="383">
        <f>'assumptions updated'!O$7/1.2*0.04</f>
        <v>1687.9452054794519</v>
      </c>
      <c r="Q11" s="383">
        <f>'assumptions updated'!P$7/1.2*0.04</f>
        <v>1744.2100456621004</v>
      </c>
      <c r="R11" s="383">
        <f>'assumptions updated'!Q$7/1.2*0.04</f>
        <v>1744.2100456621004</v>
      </c>
      <c r="S11" s="383">
        <f>'assumptions updated'!R$7/1.2*0.04</f>
        <v>1575.4155251141551</v>
      </c>
      <c r="T11" s="383">
        <f>'assumptions updated'!S$7/1.2*0.04</f>
        <v>1744.2100456621004</v>
      </c>
      <c r="U11" s="383">
        <f>'assumptions updated'!T$7/1.2*0.04</f>
        <v>1687.9452054794519</v>
      </c>
      <c r="V11" s="383">
        <f>'assumptions updated'!U$7/1.2*0.04</f>
        <v>1744.2100456621004</v>
      </c>
      <c r="W11" s="383">
        <f>'assumptions updated'!V$7/1.2*0.04</f>
        <v>1687.9452054794519</v>
      </c>
      <c r="Y11" s="383">
        <f>SUM(L11:X11)</f>
        <v>20495.168036529682</v>
      </c>
      <c r="AA11" s="405">
        <f>H11-Y11</f>
        <v>41.498630136986321</v>
      </c>
    </row>
    <row r="12" spans="1:29">
      <c r="B12" s="372">
        <v>71261</v>
      </c>
      <c r="C12" s="373" t="s">
        <v>483</v>
      </c>
      <c r="D12" s="373"/>
      <c r="E12" s="383">
        <f>'Month 3 rv'!L21</f>
        <v>7060.4416666666657</v>
      </c>
      <c r="F12" s="383">
        <f>'Month 3 rv'!K21</f>
        <v>7117.5022831050228</v>
      </c>
      <c r="G12" s="385">
        <f>F12-E12</f>
        <v>57.060616438357101</v>
      </c>
      <c r="H12" s="383">
        <f>'Month 3 rv'!C21</f>
        <v>28237.916666666664</v>
      </c>
      <c r="K12" s="400">
        <f>AVERAGE(L12:N12)</f>
        <v>2353.4805555555554</v>
      </c>
      <c r="L12" s="398">
        <f>'Month 1 rv'!H21</f>
        <v>2318.5708333333332</v>
      </c>
      <c r="M12" s="398">
        <f>'Month 2 rv'!H21</f>
        <v>2364.9083333333328</v>
      </c>
      <c r="N12" s="398">
        <f>'Month 3 rv'!H21</f>
        <v>2376.9625000000001</v>
      </c>
      <c r="O12" s="383">
        <f>'assumptions updated'!N$7/1.2*0.055</f>
        <v>2398.288812785388</v>
      </c>
      <c r="P12" s="383">
        <f>'assumptions updated'!O$7/1.2*0.055</f>
        <v>2320.9246575342463</v>
      </c>
      <c r="Q12" s="383">
        <f>'assumptions updated'!P$7/1.2*0.055</f>
        <v>2398.288812785388</v>
      </c>
      <c r="R12" s="383">
        <f>'assumptions updated'!Q$7/1.2*0.055</f>
        <v>2398.288812785388</v>
      </c>
      <c r="S12" s="383">
        <f>'assumptions updated'!R$7/1.2*0.055</f>
        <v>2166.1963470319633</v>
      </c>
      <c r="T12" s="383">
        <f>'assumptions updated'!S$7/1.2*0.055</f>
        <v>2398.288812785388</v>
      </c>
      <c r="U12" s="383">
        <f>'assumptions updated'!T$7/1.2*0.055</f>
        <v>2320.9246575342463</v>
      </c>
      <c r="V12" s="383">
        <f>'assumptions updated'!U$7/1.2*0.055</f>
        <v>2398.288812785388</v>
      </c>
      <c r="W12" s="383">
        <f>'assumptions updated'!V$7/1.2*0.055</f>
        <v>2320.9246575342463</v>
      </c>
      <c r="Y12" s="383">
        <f>SUM(L12:X12)</f>
        <v>28180.856050228311</v>
      </c>
      <c r="AA12" s="405">
        <f>H12-Y12</f>
        <v>57.060616438353463</v>
      </c>
    </row>
    <row r="13" spans="1:29">
      <c r="B13" s="372">
        <v>71271</v>
      </c>
      <c r="C13" s="373" t="s">
        <v>484</v>
      </c>
      <c r="D13" s="373"/>
      <c r="E13" s="383">
        <f>'Month 3 rv'!L22</f>
        <v>11553.449999999997</v>
      </c>
      <c r="F13" s="383">
        <f>'Month 3 rv'!K22</f>
        <v>11646.821917808218</v>
      </c>
      <c r="G13" s="385">
        <f>F13-E13</f>
        <v>93.371917808221042</v>
      </c>
      <c r="H13" s="383">
        <f>'Month 3 rv'!C22</f>
        <v>46207.5</v>
      </c>
      <c r="K13" s="400">
        <f>AVERAGE(L13:N13)</f>
        <v>3851.1499999999992</v>
      </c>
      <c r="L13" s="398">
        <f>'Month 1 rv'!H22</f>
        <v>3794.0249999999992</v>
      </c>
      <c r="M13" s="398">
        <f>'Month 2 rv'!H22</f>
        <v>3869.8499999999995</v>
      </c>
      <c r="N13" s="398">
        <f>'Month 3 rv'!H22</f>
        <v>3889.5749999999998</v>
      </c>
      <c r="O13" s="383">
        <f>'assumptions updated'!N$7/1.2*0.09</f>
        <v>3924.4726027397255</v>
      </c>
      <c r="P13" s="383">
        <f>'assumptions updated'!O$7/1.2*0.09</f>
        <v>3797.8767123287666</v>
      </c>
      <c r="Q13" s="383">
        <f>'assumptions updated'!P$7/1.2*0.09</f>
        <v>3924.4726027397255</v>
      </c>
      <c r="R13" s="383">
        <f>'assumptions updated'!Q$7/1.2*0.09</f>
        <v>3924.4726027397255</v>
      </c>
      <c r="S13" s="383">
        <f>'assumptions updated'!R$7/1.2*0.09</f>
        <v>3544.6849315068489</v>
      </c>
      <c r="T13" s="383">
        <f>'assumptions updated'!S$7/1.2*0.09</f>
        <v>3924.4726027397255</v>
      </c>
      <c r="U13" s="383">
        <f>'assumptions updated'!T$7/1.2*0.09</f>
        <v>3797.8767123287666</v>
      </c>
      <c r="V13" s="383">
        <f>'assumptions updated'!U$7/1.2*0.09</f>
        <v>3924.4726027397255</v>
      </c>
      <c r="W13" s="383">
        <f>'assumptions updated'!V$7/1.2*0.09</f>
        <v>3797.8767123287666</v>
      </c>
      <c r="Y13" s="383">
        <f>SUM(L13:X13)</f>
        <v>46114.128082191783</v>
      </c>
      <c r="AA13" s="406">
        <f>H13-Y13</f>
        <v>93.371917808217404</v>
      </c>
    </row>
    <row r="14" spans="1:29" ht="16">
      <c r="B14" s="374" t="s">
        <v>478</v>
      </c>
      <c r="C14" s="377" t="s">
        <v>479</v>
      </c>
      <c r="D14" s="377"/>
      <c r="E14" s="384">
        <f>SUM(E9:E13)</f>
        <v>154046</v>
      </c>
      <c r="F14" s="384">
        <f>SUM(F9:F13)</f>
        <v>155290.95890410958</v>
      </c>
      <c r="G14" s="404">
        <f>SUM(G9:G13)</f>
        <v>1244.9589041095996</v>
      </c>
      <c r="H14" s="384">
        <f>SUM(H9:H13)</f>
        <v>616100</v>
      </c>
      <c r="I14" s="392"/>
      <c r="J14" s="392"/>
      <c r="K14" s="384">
        <f t="shared" ref="K14:Y14" si="0">SUM(K9:K13)</f>
        <v>51348.666666666664</v>
      </c>
      <c r="L14" s="384">
        <f t="shared" si="0"/>
        <v>50586.999999999993</v>
      </c>
      <c r="M14" s="384">
        <f t="shared" si="0"/>
        <v>51598</v>
      </c>
      <c r="N14" s="384">
        <f t="shared" si="0"/>
        <v>51861</v>
      </c>
      <c r="O14" s="384">
        <f t="shared" si="0"/>
        <v>52326.301369863009</v>
      </c>
      <c r="P14" s="384">
        <f t="shared" si="0"/>
        <v>50638.356164383556</v>
      </c>
      <c r="Q14" s="384">
        <f t="shared" si="0"/>
        <v>52326.301369863009</v>
      </c>
      <c r="R14" s="384">
        <f t="shared" si="0"/>
        <v>52326.301369863009</v>
      </c>
      <c r="S14" s="384">
        <f t="shared" si="0"/>
        <v>47262.465753424651</v>
      </c>
      <c r="T14" s="384">
        <f t="shared" si="0"/>
        <v>52326.301369863009</v>
      </c>
      <c r="U14" s="384">
        <f t="shared" si="0"/>
        <v>50638.356164383556</v>
      </c>
      <c r="V14" s="384">
        <f t="shared" si="0"/>
        <v>52326.301369863009</v>
      </c>
      <c r="W14" s="384">
        <f t="shared" si="0"/>
        <v>50638.356164383556</v>
      </c>
      <c r="X14" s="384">
        <f t="shared" si="0"/>
        <v>0</v>
      </c>
      <c r="Y14" s="384">
        <f t="shared" si="0"/>
        <v>614855.04109589045</v>
      </c>
      <c r="Z14" s="392"/>
      <c r="AA14" s="404">
        <f>SUM(AA9:AA13)</f>
        <v>1244.9589041097024</v>
      </c>
    </row>
    <row r="15" spans="1:29">
      <c r="B15" s="372"/>
      <c r="C15" s="373"/>
      <c r="D15" s="373"/>
      <c r="K15" s="401"/>
      <c r="L15" s="402"/>
      <c r="M15" s="402"/>
      <c r="N15" s="402"/>
    </row>
    <row r="16" spans="1:29">
      <c r="B16" s="372">
        <v>73214</v>
      </c>
      <c r="C16" s="379" t="s">
        <v>497</v>
      </c>
      <c r="E16" s="383">
        <f>'Month 3 rv'!L32</f>
        <v>11500</v>
      </c>
      <c r="F16" s="383">
        <f>'Month 3 rv'!K32</f>
        <v>11250</v>
      </c>
      <c r="G16" s="385">
        <f t="shared" ref="G16:G26" si="1">F16-E16</f>
        <v>-250</v>
      </c>
      <c r="H16" s="383">
        <f>'Month 3 rv'!C32</f>
        <v>45000</v>
      </c>
      <c r="K16" s="400">
        <f t="shared" ref="K16:K26" si="2">AVERAGE(L16:N16)</f>
        <v>3833.3333333333335</v>
      </c>
      <c r="L16" s="398">
        <f>'Month 1 rv'!H32</f>
        <v>0</v>
      </c>
      <c r="M16" s="398">
        <f>'Month 2 rv'!H32</f>
        <v>11500</v>
      </c>
      <c r="N16" s="398">
        <f>'Month 3 rv'!H32</f>
        <v>0</v>
      </c>
      <c r="O16" s="383">
        <f>'assumptions updated'!N17</f>
        <v>0</v>
      </c>
      <c r="P16" s="383">
        <f>'assumptions updated'!O17</f>
        <v>11250</v>
      </c>
      <c r="Q16" s="383">
        <f>'assumptions updated'!P17</f>
        <v>0</v>
      </c>
      <c r="R16" s="383">
        <f>'assumptions updated'!Q17</f>
        <v>0</v>
      </c>
      <c r="S16" s="383">
        <f>'assumptions updated'!R17</f>
        <v>11250</v>
      </c>
      <c r="T16" s="383">
        <f>'assumptions updated'!S17</f>
        <v>0</v>
      </c>
      <c r="U16" s="383">
        <f>'assumptions updated'!T17</f>
        <v>0</v>
      </c>
      <c r="V16" s="383">
        <f>'assumptions updated'!U17</f>
        <v>11250</v>
      </c>
      <c r="W16" s="383">
        <f>'assumptions updated'!V17</f>
        <v>0</v>
      </c>
      <c r="Y16" s="383">
        <f t="shared" ref="Y16:Y26" si="3">SUM(L16:X16)</f>
        <v>45250</v>
      </c>
      <c r="AA16" s="405">
        <f t="shared" ref="AA16:AA26" si="4">H16-Y16</f>
        <v>-250</v>
      </c>
    </row>
    <row r="17" spans="2:27">
      <c r="B17" s="372">
        <v>73269</v>
      </c>
      <c r="C17" s="380" t="s">
        <v>496</v>
      </c>
      <c r="E17" s="383">
        <f>'Month 3 rv'!L33</f>
        <v>22809</v>
      </c>
      <c r="F17" s="383">
        <f>'Month 3 rv'!K33</f>
        <v>22902.5</v>
      </c>
      <c r="G17" s="385">
        <f t="shared" si="1"/>
        <v>93.5</v>
      </c>
      <c r="H17" s="383">
        <f>'Month 3 rv'!C33</f>
        <v>91610</v>
      </c>
      <c r="K17" s="400">
        <f t="shared" si="2"/>
        <v>7603</v>
      </c>
      <c r="L17" s="398">
        <f>'Month 1 rv'!H33</f>
        <v>7800</v>
      </c>
      <c r="M17" s="398">
        <f>'Month 2 rv'!H33</f>
        <v>8109</v>
      </c>
      <c r="N17" s="398">
        <f>'Month 3 rv'!H33</f>
        <v>6900</v>
      </c>
      <c r="O17" s="383">
        <f>'assumptions updated'!N23+'assumptions updated'!N19</f>
        <v>7634.166666666667</v>
      </c>
      <c r="P17" s="383">
        <f>'assumptions updated'!O23+'assumptions updated'!O19</f>
        <v>7634.166666666667</v>
      </c>
      <c r="Q17" s="383">
        <f>'assumptions updated'!P23+'assumptions updated'!P19</f>
        <v>7634.166666666667</v>
      </c>
      <c r="R17" s="383">
        <f>'assumptions updated'!Q23+'assumptions updated'!Q19</f>
        <v>7634.166666666667</v>
      </c>
      <c r="S17" s="383">
        <f>'assumptions updated'!R23+'assumptions updated'!R19</f>
        <v>7634.166666666667</v>
      </c>
      <c r="T17" s="383">
        <f>'assumptions updated'!S23+'assumptions updated'!S19</f>
        <v>7634.166666666667</v>
      </c>
      <c r="U17" s="383">
        <f>'assumptions updated'!T23+'assumptions updated'!T19</f>
        <v>7634.166666666667</v>
      </c>
      <c r="V17" s="383">
        <f>'assumptions updated'!U23+'assumptions updated'!U19</f>
        <v>7634.166666666667</v>
      </c>
      <c r="W17" s="383">
        <f>'assumptions updated'!V23+'assumptions updated'!V19</f>
        <v>7634.166666666667</v>
      </c>
      <c r="Y17" s="383">
        <f t="shared" si="3"/>
        <v>91516.500000000015</v>
      </c>
      <c r="AA17" s="405">
        <f t="shared" si="4"/>
        <v>93.499999999985448</v>
      </c>
    </row>
    <row r="18" spans="2:27">
      <c r="B18" s="376">
        <v>73299</v>
      </c>
      <c r="C18" s="380" t="s">
        <v>495</v>
      </c>
      <c r="E18" s="383">
        <f>'Month 3 rv'!L34</f>
        <v>98701</v>
      </c>
      <c r="F18" s="383">
        <f>'Month 3 rv'!K34</f>
        <v>98800</v>
      </c>
      <c r="G18" s="385">
        <f t="shared" si="1"/>
        <v>99</v>
      </c>
      <c r="H18" s="383">
        <f>'Month 3 rv'!C34</f>
        <v>395200</v>
      </c>
      <c r="K18" s="400">
        <f t="shared" si="2"/>
        <v>32900.333333333336</v>
      </c>
      <c r="L18" s="398">
        <f>'Month 1 rv'!H34</f>
        <v>28394</v>
      </c>
      <c r="M18" s="398">
        <f>'Month 2 rv'!H34</f>
        <v>30567</v>
      </c>
      <c r="N18" s="398">
        <f>'Month 3 rv'!H34</f>
        <v>39740</v>
      </c>
      <c r="O18" s="383">
        <f>'assumptions updated'!N26+'assumptions updated'!N27+'assumptions updated'!N28</f>
        <v>30400</v>
      </c>
      <c r="P18" s="383">
        <f>'assumptions updated'!O26+'assumptions updated'!O27+'assumptions updated'!O28</f>
        <v>30400</v>
      </c>
      <c r="Q18" s="383">
        <f>'assumptions updated'!P26+'assumptions updated'!P27+'assumptions updated'!P28</f>
        <v>38000</v>
      </c>
      <c r="R18" s="383">
        <f>'assumptions updated'!Q26+'assumptions updated'!Q27+'assumptions updated'!Q28</f>
        <v>30400</v>
      </c>
      <c r="S18" s="383">
        <f>'assumptions updated'!R26+'assumptions updated'!R27+'assumptions updated'!R28</f>
        <v>30400</v>
      </c>
      <c r="T18" s="383">
        <f>'assumptions updated'!S26+'assumptions updated'!S27+'assumptions updated'!S28</f>
        <v>38000</v>
      </c>
      <c r="U18" s="383">
        <f>'assumptions updated'!T26+'assumptions updated'!T27+'assumptions updated'!T28</f>
        <v>30400</v>
      </c>
      <c r="V18" s="383">
        <f>'assumptions updated'!U26+'assumptions updated'!U27+'assumptions updated'!U28</f>
        <v>30400</v>
      </c>
      <c r="W18" s="383">
        <f>'assumptions updated'!V26+'assumptions updated'!V27+'assumptions updated'!V28</f>
        <v>38000</v>
      </c>
      <c r="Y18" s="383">
        <f t="shared" si="3"/>
        <v>395101</v>
      </c>
      <c r="AA18" s="405">
        <f t="shared" si="4"/>
        <v>99</v>
      </c>
    </row>
    <row r="19" spans="2:27">
      <c r="B19" s="376">
        <v>73284</v>
      </c>
      <c r="C19" s="380" t="s">
        <v>492</v>
      </c>
      <c r="E19" s="383">
        <f>'Month 3 rv'!L35</f>
        <v>20391</v>
      </c>
      <c r="F19" s="383">
        <f>'Month 3 rv'!K35</f>
        <v>18000</v>
      </c>
      <c r="G19" s="385">
        <f t="shared" si="1"/>
        <v>-2391</v>
      </c>
      <c r="H19" s="383">
        <f>'Month 3 rv'!C35</f>
        <v>72000</v>
      </c>
      <c r="K19" s="400">
        <f t="shared" si="2"/>
        <v>6797</v>
      </c>
      <c r="L19" s="398">
        <f>'Month 1 rv'!H35</f>
        <v>6289</v>
      </c>
      <c r="M19" s="398">
        <f>'Month 2 rv'!H35</f>
        <v>6345</v>
      </c>
      <c r="N19" s="398">
        <f>'Month 3 rv'!H35</f>
        <v>7757</v>
      </c>
      <c r="O19" s="383">
        <f>'assumptions updated'!N35</f>
        <v>6000</v>
      </c>
      <c r="P19" s="383">
        <f>'assumptions updated'!O35</f>
        <v>6000</v>
      </c>
      <c r="Q19" s="383">
        <f>'assumptions updated'!P35</f>
        <v>6000</v>
      </c>
      <c r="R19" s="383">
        <f>'assumptions updated'!Q35</f>
        <v>6000</v>
      </c>
      <c r="S19" s="383">
        <f>'assumptions updated'!R35</f>
        <v>6000</v>
      </c>
      <c r="T19" s="383">
        <f>'assumptions updated'!S35</f>
        <v>6000</v>
      </c>
      <c r="U19" s="383">
        <f>'assumptions updated'!T35</f>
        <v>6000</v>
      </c>
      <c r="V19" s="383">
        <f>'assumptions updated'!U35</f>
        <v>6000</v>
      </c>
      <c r="W19" s="383">
        <f>'assumptions updated'!V35</f>
        <v>6000</v>
      </c>
      <c r="Y19" s="383">
        <f t="shared" si="3"/>
        <v>74391</v>
      </c>
      <c r="AA19" s="405">
        <f t="shared" si="4"/>
        <v>-2391</v>
      </c>
    </row>
    <row r="20" spans="2:27">
      <c r="B20" s="372">
        <v>73142</v>
      </c>
      <c r="C20" s="373" t="s">
        <v>489</v>
      </c>
      <c r="E20" s="383">
        <f>'Month 3 rv'!L36</f>
        <v>37456</v>
      </c>
      <c r="F20" s="383">
        <f>'Month 3 rv'!K36</f>
        <v>42000</v>
      </c>
      <c r="G20" s="385">
        <f t="shared" si="1"/>
        <v>4544</v>
      </c>
      <c r="H20" s="383">
        <f>'Month 3 rv'!C36</f>
        <v>168000</v>
      </c>
      <c r="K20" s="400">
        <f t="shared" si="2"/>
        <v>12485.333333333334</v>
      </c>
      <c r="L20" s="398">
        <f>'Month 1 rv'!H36</f>
        <v>3402</v>
      </c>
      <c r="M20" s="398">
        <f>'Month 2 rv'!H36</f>
        <v>16021</v>
      </c>
      <c r="N20" s="398">
        <f>'Month 3 rv'!H36</f>
        <v>18033</v>
      </c>
      <c r="O20" s="383">
        <f>'assumptions updated'!N37+'assumptions updated'!N38+'assumptions updated'!N39+'assumptions updated'!N40+'assumptions updated'!N41+'assumptions updated'!N36</f>
        <v>3000</v>
      </c>
      <c r="P20" s="383">
        <f>'assumptions updated'!O37+'assumptions updated'!O38+'assumptions updated'!O39+'assumptions updated'!O40+'assumptions updated'!O41+'assumptions updated'!O36</f>
        <v>3000</v>
      </c>
      <c r="Q20" s="383">
        <f>'assumptions updated'!P37+'assumptions updated'!P38+'assumptions updated'!P39+'assumptions updated'!P40+'assumptions updated'!P41+'assumptions updated'!P36</f>
        <v>36000</v>
      </c>
      <c r="R20" s="383">
        <f>'assumptions updated'!Q37+'assumptions updated'!Q38+'assumptions updated'!Q39+'assumptions updated'!Q40+'assumptions updated'!Q41+'assumptions updated'!Q36</f>
        <v>3000</v>
      </c>
      <c r="S20" s="383">
        <f>'assumptions updated'!R37+'assumptions updated'!R38+'assumptions updated'!R39+'assumptions updated'!R40+'assumptions updated'!R41+'assumptions updated'!R36</f>
        <v>3000</v>
      </c>
      <c r="T20" s="383">
        <f>'assumptions updated'!S37+'assumptions updated'!S38+'assumptions updated'!S39+'assumptions updated'!S40+'assumptions updated'!S41+'assumptions updated'!S36</f>
        <v>36000</v>
      </c>
      <c r="U20" s="383">
        <f>'assumptions updated'!T37+'assumptions updated'!T38+'assumptions updated'!T39+'assumptions updated'!T40+'assumptions updated'!T41+'assumptions updated'!T36</f>
        <v>3000</v>
      </c>
      <c r="V20" s="383">
        <f>'assumptions updated'!U37+'assumptions updated'!U38+'assumptions updated'!U39+'assumptions updated'!U40+'assumptions updated'!U41+'assumptions updated'!U36</f>
        <v>3000</v>
      </c>
      <c r="W20" s="383">
        <f>'assumptions updated'!V37+'assumptions updated'!V38+'assumptions updated'!V39+'assumptions updated'!V40+'assumptions updated'!V41+'assumptions updated'!V36</f>
        <v>36000</v>
      </c>
      <c r="Y20" s="383">
        <f t="shared" si="3"/>
        <v>163456</v>
      </c>
      <c r="AA20" s="405">
        <f t="shared" si="4"/>
        <v>4544</v>
      </c>
    </row>
    <row r="21" spans="2:27">
      <c r="B21" s="372">
        <v>73279</v>
      </c>
      <c r="C21" s="373" t="s">
        <v>493</v>
      </c>
      <c r="D21" s="373"/>
      <c r="E21" s="383">
        <f>'Month 3 rv'!L37-E22</f>
        <v>5180.5999999999985</v>
      </c>
      <c r="F21" s="383">
        <f>'Month 3 rv'!K37-F22</f>
        <v>4333.3333333333358</v>
      </c>
      <c r="G21" s="385">
        <f t="shared" si="1"/>
        <v>-847.26666666666279</v>
      </c>
      <c r="H21" s="383">
        <f>'Month 3 rv'!C37-H22</f>
        <v>65000</v>
      </c>
      <c r="K21" s="400">
        <f t="shared" si="2"/>
        <v>1726.8666666666661</v>
      </c>
      <c r="L21" s="398">
        <f>'Month 1 rv'!H37-L22</f>
        <v>-4280</v>
      </c>
      <c r="M21" s="398">
        <f>'Month 2 rv'!H37-M22</f>
        <v>13761.599999999999</v>
      </c>
      <c r="N21" s="398">
        <f>'Month 3 rv'!H37-N22</f>
        <v>-4301</v>
      </c>
      <c r="O21" s="383">
        <f>'assumptions updated'!N21</f>
        <v>10833.333333333334</v>
      </c>
      <c r="P21" s="383">
        <f>'assumptions updated'!O21</f>
        <v>0</v>
      </c>
      <c r="Q21" s="383">
        <f>'assumptions updated'!P21</f>
        <v>10833.333333333334</v>
      </c>
      <c r="R21" s="383">
        <f>'assumptions updated'!Q21</f>
        <v>0</v>
      </c>
      <c r="S21" s="383">
        <f>'assumptions updated'!R21</f>
        <v>10833.333333333334</v>
      </c>
      <c r="T21" s="383">
        <f>'assumptions updated'!S21</f>
        <v>0</v>
      </c>
      <c r="U21" s="383">
        <f>'assumptions updated'!T21</f>
        <v>10833.333333333334</v>
      </c>
      <c r="V21" s="383">
        <f>'assumptions updated'!U21</f>
        <v>0</v>
      </c>
      <c r="W21" s="383">
        <f>'assumptions updated'!V21</f>
        <v>10833.333333333334</v>
      </c>
      <c r="Y21" s="383">
        <f t="shared" si="3"/>
        <v>59347.26666666667</v>
      </c>
      <c r="AA21" s="405">
        <f t="shared" si="4"/>
        <v>5652.7333333333299</v>
      </c>
    </row>
    <row r="22" spans="2:27">
      <c r="B22" s="372">
        <v>73287</v>
      </c>
      <c r="C22" s="373" t="s">
        <v>494</v>
      </c>
      <c r="D22" s="373"/>
      <c r="E22" s="383">
        <v>12941</v>
      </c>
      <c r="F22" s="383">
        <v>13000</v>
      </c>
      <c r="G22" s="385">
        <f t="shared" si="1"/>
        <v>59</v>
      </c>
      <c r="H22" s="383">
        <f>'assumptions updated'!H20</f>
        <v>39000</v>
      </c>
      <c r="K22" s="400">
        <f t="shared" si="2"/>
        <v>4313.666666666667</v>
      </c>
      <c r="L22" s="398">
        <v>4280</v>
      </c>
      <c r="M22" s="398">
        <v>4360</v>
      </c>
      <c r="N22" s="398">
        <v>4301</v>
      </c>
      <c r="O22" s="383">
        <f>'assumptions updated'!N20</f>
        <v>6500</v>
      </c>
      <c r="P22" s="383">
        <f>'assumptions updated'!O20</f>
        <v>0</v>
      </c>
      <c r="Q22" s="383">
        <f>'assumptions updated'!P20</f>
        <v>6500</v>
      </c>
      <c r="R22" s="383">
        <f>'assumptions updated'!Q20</f>
        <v>0</v>
      </c>
      <c r="S22" s="383">
        <f>'assumptions updated'!R20</f>
        <v>6500</v>
      </c>
      <c r="T22" s="383">
        <f>'assumptions updated'!S20</f>
        <v>0</v>
      </c>
      <c r="U22" s="383">
        <f>'assumptions updated'!T20</f>
        <v>6500</v>
      </c>
      <c r="V22" s="383">
        <f>'assumptions updated'!U20</f>
        <v>0</v>
      </c>
      <c r="W22" s="383">
        <f>'assumptions updated'!V20</f>
        <v>6500</v>
      </c>
      <c r="Y22" s="383">
        <f t="shared" si="3"/>
        <v>45441</v>
      </c>
      <c r="AA22" s="405">
        <f t="shared" si="4"/>
        <v>-6441</v>
      </c>
    </row>
    <row r="23" spans="2:27">
      <c r="B23" s="372">
        <v>73192</v>
      </c>
      <c r="C23" s="380" t="s">
        <v>488</v>
      </c>
      <c r="E23" s="383">
        <f>'Month 3 rv'!L38</f>
        <v>7120</v>
      </c>
      <c r="F23" s="383">
        <f>'Month 3 rv'!K38</f>
        <v>21000</v>
      </c>
      <c r="G23" s="385">
        <f t="shared" si="1"/>
        <v>13880</v>
      </c>
      <c r="H23" s="383">
        <f>'Month 3 rv'!C38</f>
        <v>100000</v>
      </c>
      <c r="K23" s="400">
        <f t="shared" si="2"/>
        <v>2373.3333333333335</v>
      </c>
      <c r="L23" s="398">
        <f>'Month 1 rv'!H38</f>
        <v>0</v>
      </c>
      <c r="M23" s="398">
        <f>'Month 2 rv'!H38</f>
        <v>0</v>
      </c>
      <c r="N23" s="398">
        <f>'Month 3 rv'!H38</f>
        <v>7120</v>
      </c>
      <c r="O23" s="383">
        <f>'assumptions updated'!N18+'assumptions updated'!N30+'assumptions updated'!N31+'assumptions updated'!N32</f>
        <v>3000</v>
      </c>
      <c r="P23" s="383">
        <f>'assumptions updated'!O18+'assumptions updated'!O30+'assumptions updated'!O31+'assumptions updated'!O32</f>
        <v>3000</v>
      </c>
      <c r="Q23" s="383">
        <f>'assumptions updated'!P18+'assumptions updated'!P30+'assumptions updated'!P31+'assumptions updated'!P32</f>
        <v>3000</v>
      </c>
      <c r="R23" s="383">
        <f>'assumptions updated'!Q18+'assumptions updated'!Q30+'assumptions updated'!Q31+'assumptions updated'!Q32</f>
        <v>43000</v>
      </c>
      <c r="S23" s="383">
        <f>'assumptions updated'!R18+'assumptions updated'!R30+'assumptions updated'!R31+'assumptions updated'!R32</f>
        <v>3000</v>
      </c>
      <c r="T23" s="383">
        <f>'assumptions updated'!S18+'assumptions updated'!S30+'assumptions updated'!S31+'assumptions updated'!S32</f>
        <v>15000</v>
      </c>
      <c r="U23" s="383">
        <f>'assumptions updated'!T18+'assumptions updated'!T30+'assumptions updated'!T31+'assumptions updated'!T32</f>
        <v>3000</v>
      </c>
      <c r="V23" s="383">
        <f>'assumptions updated'!U18+'assumptions updated'!U30+'assumptions updated'!U31+'assumptions updated'!U32</f>
        <v>3000</v>
      </c>
      <c r="W23" s="383">
        <f>'assumptions updated'!V18+'assumptions updated'!V30+'assumptions updated'!V31+'assumptions updated'!V32</f>
        <v>3000</v>
      </c>
      <c r="Y23" s="383">
        <f t="shared" si="3"/>
        <v>86120</v>
      </c>
      <c r="AA23" s="405">
        <f t="shared" si="4"/>
        <v>13880</v>
      </c>
    </row>
    <row r="24" spans="2:27">
      <c r="B24" s="372">
        <v>73185</v>
      </c>
      <c r="C24" s="373" t="s">
        <v>490</v>
      </c>
      <c r="E24" s="383">
        <f>'Month 3 rv'!L39</f>
        <v>35624.639999999999</v>
      </c>
      <c r="F24" s="383">
        <f>'Month 3 rv'!K39</f>
        <v>11700</v>
      </c>
      <c r="G24" s="385">
        <f t="shared" si="1"/>
        <v>-23924.639999999999</v>
      </c>
      <c r="H24" s="383">
        <f>'Month 3 rv'!C39</f>
        <v>46800</v>
      </c>
      <c r="K24" s="400">
        <f t="shared" si="2"/>
        <v>11874.88</v>
      </c>
      <c r="L24" s="398">
        <f>'Month 1 rv'!H39</f>
        <v>7581</v>
      </c>
      <c r="M24" s="398">
        <f>'Month 2 rv'!H39</f>
        <v>7501</v>
      </c>
      <c r="N24" s="398">
        <f>'Month 3 rv'!H39</f>
        <v>20542.64</v>
      </c>
      <c r="O24" s="410">
        <f>'assumptions updated'!N33*2</f>
        <v>7200</v>
      </c>
      <c r="P24" s="410">
        <f>'assumptions updated'!O33*2</f>
        <v>7200</v>
      </c>
      <c r="Q24" s="410">
        <f>'assumptions updated'!P33*2</f>
        <v>9000</v>
      </c>
      <c r="R24" s="410">
        <f>'assumptions updated'!Q33*2</f>
        <v>7200</v>
      </c>
      <c r="S24" s="410">
        <f>'assumptions updated'!R33*2</f>
        <v>7200</v>
      </c>
      <c r="T24" s="410">
        <f>'assumptions updated'!S33*2</f>
        <v>9000</v>
      </c>
      <c r="U24" s="410">
        <f>'assumptions updated'!T33*2</f>
        <v>7200</v>
      </c>
      <c r="V24" s="410">
        <f>'assumptions updated'!U33*2</f>
        <v>7200</v>
      </c>
      <c r="W24" s="410">
        <f>'assumptions updated'!V33*2</f>
        <v>9000</v>
      </c>
      <c r="Y24" s="383">
        <f t="shared" si="3"/>
        <v>105824.64</v>
      </c>
      <c r="AA24" s="405">
        <f t="shared" si="4"/>
        <v>-59024.639999999999</v>
      </c>
    </row>
    <row r="25" spans="2:27">
      <c r="B25" s="372">
        <v>73511</v>
      </c>
      <c r="C25" s="373" t="s">
        <v>491</v>
      </c>
      <c r="E25" s="383">
        <f>'Month 3 rv'!L40</f>
        <v>13675</v>
      </c>
      <c r="F25" s="383">
        <f>'Month 3 rv'!K40</f>
        <v>5000</v>
      </c>
      <c r="G25" s="385">
        <f t="shared" si="1"/>
        <v>-8675</v>
      </c>
      <c r="H25" s="383">
        <f>'Month 3 rv'!C40</f>
        <v>20000</v>
      </c>
      <c r="K25" s="400">
        <f t="shared" si="2"/>
        <v>4558.333333333333</v>
      </c>
      <c r="L25" s="398">
        <f>'Month 1 rv'!H40</f>
        <v>2319</v>
      </c>
      <c r="M25" s="398">
        <f>'Month 2 rv'!H40</f>
        <v>1120</v>
      </c>
      <c r="N25" s="398">
        <f>'Month 3 rv'!H40</f>
        <v>10236</v>
      </c>
      <c r="O25" s="383">
        <f>'assumptions updated'!N22</f>
        <v>0</v>
      </c>
      <c r="P25" s="383">
        <f>'assumptions updated'!O22</f>
        <v>5000</v>
      </c>
      <c r="Q25" s="383">
        <f>'assumptions updated'!P22</f>
        <v>0</v>
      </c>
      <c r="R25" s="383">
        <f>'assumptions updated'!Q22</f>
        <v>0</v>
      </c>
      <c r="S25" s="383">
        <f>'assumptions updated'!R22</f>
        <v>5000</v>
      </c>
      <c r="T25" s="383">
        <f>'assumptions updated'!S22</f>
        <v>0</v>
      </c>
      <c r="U25" s="383">
        <f>'assumptions updated'!T22</f>
        <v>0</v>
      </c>
      <c r="V25" s="383">
        <f>'assumptions updated'!U22</f>
        <v>5000</v>
      </c>
      <c r="W25" s="383">
        <f>'assumptions updated'!V22</f>
        <v>0</v>
      </c>
      <c r="Y25" s="383">
        <f t="shared" si="3"/>
        <v>28675</v>
      </c>
      <c r="AA25" s="405">
        <f t="shared" si="4"/>
        <v>-8675</v>
      </c>
    </row>
    <row r="26" spans="2:27">
      <c r="B26" s="372">
        <v>76811</v>
      </c>
      <c r="C26" s="373" t="s">
        <v>485</v>
      </c>
      <c r="E26" s="383">
        <f>'Month 3 rv'!L41</f>
        <v>51068</v>
      </c>
      <c r="F26" s="383">
        <f>'Month 3 rv'!K41</f>
        <v>50800</v>
      </c>
      <c r="G26" s="385">
        <f t="shared" si="1"/>
        <v>-268</v>
      </c>
      <c r="H26" s="383">
        <f>'Month 3 rv'!C41</f>
        <v>203200</v>
      </c>
      <c r="K26" s="400">
        <f t="shared" si="2"/>
        <v>17022.666666666668</v>
      </c>
      <c r="L26" s="398">
        <f>'Month 1 rv'!H41</f>
        <v>16987</v>
      </c>
      <c r="M26" s="398">
        <f>'Month 2 rv'!H41</f>
        <v>15890</v>
      </c>
      <c r="N26" s="398">
        <f>'Month 3 rv'!H41</f>
        <v>18191</v>
      </c>
      <c r="O26" s="383">
        <f>'assumptions updated'!N34+'assumptions updated'!N43+'assumptions updated'!N44</f>
        <v>15733.333333333334</v>
      </c>
      <c r="P26" s="383">
        <f>'assumptions updated'!O34+'assumptions updated'!O43+'assumptions updated'!O44</f>
        <v>15733.333333333334</v>
      </c>
      <c r="Q26" s="383">
        <f>'assumptions updated'!P34+'assumptions updated'!P43+'assumptions updated'!P44</f>
        <v>19333.333333333336</v>
      </c>
      <c r="R26" s="383">
        <f>'assumptions updated'!Q34+'assumptions updated'!Q43+'assumptions updated'!Q44</f>
        <v>15733.333333333334</v>
      </c>
      <c r="S26" s="383">
        <f>'assumptions updated'!R34+'assumptions updated'!R43+'assumptions updated'!R44</f>
        <v>15733.333333333334</v>
      </c>
      <c r="T26" s="383">
        <f>'assumptions updated'!S34+'assumptions updated'!S43+'assumptions updated'!S44</f>
        <v>19333.333333333336</v>
      </c>
      <c r="U26" s="383">
        <f>'assumptions updated'!T34+'assumptions updated'!T43+'assumptions updated'!T44</f>
        <v>15733.333333333334</v>
      </c>
      <c r="V26" s="383">
        <f>'assumptions updated'!U34+'assumptions updated'!U43+'assumptions updated'!U44</f>
        <v>15733.333333333334</v>
      </c>
      <c r="W26" s="383">
        <f>'assumptions updated'!V34+'assumptions updated'!V43+'assumptions updated'!V44</f>
        <v>19333.333333333336</v>
      </c>
      <c r="Y26" s="383">
        <f t="shared" si="3"/>
        <v>203468.00000000003</v>
      </c>
      <c r="AA26" s="406">
        <f t="shared" si="4"/>
        <v>-268.0000000000291</v>
      </c>
    </row>
    <row r="27" spans="2:27" ht="16">
      <c r="B27" s="374" t="s">
        <v>486</v>
      </c>
      <c r="C27" s="377" t="s">
        <v>487</v>
      </c>
      <c r="D27" s="377"/>
      <c r="E27" s="384">
        <f>SUM(E16:E26)</f>
        <v>316466.24</v>
      </c>
      <c r="F27" s="384">
        <f>SUM(F16:F26)</f>
        <v>298785.83333333337</v>
      </c>
      <c r="G27" s="404">
        <f>SUM(G16:G26)</f>
        <v>-17680.406666666662</v>
      </c>
      <c r="H27" s="384">
        <f>SUM(H16:H26)</f>
        <v>1245810</v>
      </c>
      <c r="I27" s="392"/>
      <c r="J27" s="392"/>
      <c r="K27" s="384">
        <f t="shared" ref="K27:AA27" si="5">SUM(K16:K26)</f>
        <v>105488.74666666667</v>
      </c>
      <c r="L27" s="384">
        <f t="shared" si="5"/>
        <v>72772</v>
      </c>
      <c r="M27" s="384">
        <f t="shared" si="5"/>
        <v>115174.6</v>
      </c>
      <c r="N27" s="384">
        <f t="shared" si="5"/>
        <v>128519.64</v>
      </c>
      <c r="O27" s="384">
        <f t="shared" si="5"/>
        <v>90300.833333333328</v>
      </c>
      <c r="P27" s="384">
        <f t="shared" si="5"/>
        <v>89217.5</v>
      </c>
      <c r="Q27" s="384">
        <f t="shared" si="5"/>
        <v>136300.83333333331</v>
      </c>
      <c r="R27" s="384">
        <f t="shared" si="5"/>
        <v>112967.49999999999</v>
      </c>
      <c r="S27" s="384">
        <f t="shared" si="5"/>
        <v>106550.83333333333</v>
      </c>
      <c r="T27" s="384">
        <f t="shared" si="5"/>
        <v>130967.5</v>
      </c>
      <c r="U27" s="384">
        <f t="shared" si="5"/>
        <v>90300.833333333328</v>
      </c>
      <c r="V27" s="384">
        <f t="shared" si="5"/>
        <v>89217.5</v>
      </c>
      <c r="W27" s="384">
        <f t="shared" si="5"/>
        <v>136300.83333333331</v>
      </c>
      <c r="X27" s="384">
        <f t="shared" si="5"/>
        <v>0</v>
      </c>
      <c r="Y27" s="384">
        <f t="shared" si="5"/>
        <v>1298590.4066666667</v>
      </c>
      <c r="Z27" s="392"/>
      <c r="AA27" s="404">
        <f t="shared" si="5"/>
        <v>-52780.406666666713</v>
      </c>
    </row>
    <row r="28" spans="2:27">
      <c r="G28" s="388"/>
      <c r="K28" s="388"/>
      <c r="L28" s="402"/>
      <c r="M28" s="402"/>
      <c r="N28" s="402"/>
    </row>
    <row r="29" spans="2:27">
      <c r="B29" s="376">
        <v>72119</v>
      </c>
      <c r="C29" s="375" t="s">
        <v>498</v>
      </c>
      <c r="E29" s="383">
        <f>'Month 3 rv'!L45</f>
        <v>24999.989999999998</v>
      </c>
      <c r="F29" s="383">
        <f>'Month 3 rv'!K45</f>
        <v>24999.999000000003</v>
      </c>
      <c r="G29" s="385">
        <f>F29-E29</f>
        <v>9.0000000054715201E-3</v>
      </c>
      <c r="H29" s="383">
        <f>'Month 3 rv'!C45</f>
        <v>100000</v>
      </c>
      <c r="K29" s="400">
        <f>AVERAGE(L29:N29)</f>
        <v>8333.33</v>
      </c>
      <c r="L29" s="398">
        <f>'Month 1 rv'!H45</f>
        <v>8333.33</v>
      </c>
      <c r="M29" s="398">
        <f>'Month 2 rv'!H45</f>
        <v>8333.33</v>
      </c>
      <c r="N29" s="398">
        <f>'Month 3 rv'!H45</f>
        <v>8333.33</v>
      </c>
      <c r="O29" s="383">
        <f>'assumptions updated'!N47+'assumptions updated'!N48</f>
        <v>8333.3333333333339</v>
      </c>
      <c r="P29" s="383">
        <f>'assumptions updated'!O47+'assumptions updated'!O48</f>
        <v>8333.3333333333339</v>
      </c>
      <c r="Q29" s="383">
        <f>'assumptions updated'!P47+'assumptions updated'!P48</f>
        <v>8333.3333333333339</v>
      </c>
      <c r="R29" s="383">
        <f>'assumptions updated'!Q47+'assumptions updated'!Q48</f>
        <v>8333.3333333333339</v>
      </c>
      <c r="S29" s="383">
        <f>'assumptions updated'!R47+'assumptions updated'!R48</f>
        <v>8333.3333333333339</v>
      </c>
      <c r="T29" s="383">
        <f>'assumptions updated'!S47+'assumptions updated'!S48</f>
        <v>8333.3333333333339</v>
      </c>
      <c r="U29" s="383">
        <f>'assumptions updated'!T47+'assumptions updated'!T48</f>
        <v>8333.3333333333339</v>
      </c>
      <c r="V29" s="383">
        <f>'assumptions updated'!U47+'assumptions updated'!U48</f>
        <v>8333.3333333333339</v>
      </c>
      <c r="W29" s="383">
        <f>'assumptions updated'!V47+'assumptions updated'!V48</f>
        <v>8333.3333333333339</v>
      </c>
      <c r="Y29" s="383">
        <f>SUM(L29:X29)</f>
        <v>99999.989999999991</v>
      </c>
      <c r="AA29" s="405">
        <f>H29-Y29</f>
        <v>1.0000000009313226E-2</v>
      </c>
    </row>
    <row r="30" spans="2:27" ht="16">
      <c r="B30" s="387" t="s">
        <v>500</v>
      </c>
      <c r="C30" s="377" t="s">
        <v>499</v>
      </c>
      <c r="D30" s="377"/>
      <c r="E30" s="384">
        <f>SUM(E29:E29)</f>
        <v>24999.989999999998</v>
      </c>
      <c r="F30" s="384">
        <f>SUM(F29:F29)</f>
        <v>24999.999000000003</v>
      </c>
      <c r="G30" s="404">
        <f>SUM(G29:G29)</f>
        <v>9.0000000054715201E-3</v>
      </c>
      <c r="H30" s="384">
        <f>SUM(H29:H29)</f>
        <v>100000</v>
      </c>
      <c r="I30" s="392"/>
      <c r="J30" s="392"/>
      <c r="K30" s="384">
        <f t="shared" ref="K30:AA30" si="6">SUM(K29:K29)</f>
        <v>8333.33</v>
      </c>
      <c r="L30" s="384">
        <f t="shared" si="6"/>
        <v>8333.33</v>
      </c>
      <c r="M30" s="384">
        <f t="shared" si="6"/>
        <v>8333.33</v>
      </c>
      <c r="N30" s="384">
        <f t="shared" si="6"/>
        <v>8333.33</v>
      </c>
      <c r="O30" s="384">
        <f t="shared" si="6"/>
        <v>8333.3333333333339</v>
      </c>
      <c r="P30" s="384">
        <f t="shared" si="6"/>
        <v>8333.3333333333339</v>
      </c>
      <c r="Q30" s="384">
        <f t="shared" si="6"/>
        <v>8333.3333333333339</v>
      </c>
      <c r="R30" s="384">
        <f t="shared" si="6"/>
        <v>8333.3333333333339</v>
      </c>
      <c r="S30" s="384">
        <f t="shared" si="6"/>
        <v>8333.3333333333339</v>
      </c>
      <c r="T30" s="384">
        <f t="shared" si="6"/>
        <v>8333.3333333333339</v>
      </c>
      <c r="U30" s="384">
        <f t="shared" si="6"/>
        <v>8333.3333333333339</v>
      </c>
      <c r="V30" s="384">
        <f t="shared" si="6"/>
        <v>8333.3333333333339</v>
      </c>
      <c r="W30" s="384">
        <f t="shared" si="6"/>
        <v>8333.3333333333339</v>
      </c>
      <c r="X30" s="384">
        <f t="shared" si="6"/>
        <v>0</v>
      </c>
      <c r="Y30" s="384">
        <f t="shared" si="6"/>
        <v>99999.989999999991</v>
      </c>
      <c r="Z30" s="392"/>
      <c r="AA30" s="404">
        <f t="shared" si="6"/>
        <v>1.0000000009313226E-2</v>
      </c>
    </row>
    <row r="31" spans="2:27">
      <c r="G31" s="388"/>
      <c r="K31" s="388"/>
      <c r="L31" s="402"/>
      <c r="M31" s="402"/>
      <c r="N31" s="402"/>
    </row>
    <row r="32" spans="2:27">
      <c r="B32" s="376">
        <v>76813</v>
      </c>
      <c r="C32" s="375" t="s">
        <v>501</v>
      </c>
      <c r="E32" s="383">
        <f>'Month 3 rv'!L49</f>
        <v>9000</v>
      </c>
      <c r="F32" s="383">
        <f>'Month 3 rv'!K49</f>
        <v>9000</v>
      </c>
      <c r="G32" s="385">
        <f>F32-E32</f>
        <v>0</v>
      </c>
      <c r="H32" s="383">
        <f>'Month 3 rv'!C49</f>
        <v>36000</v>
      </c>
      <c r="K32" s="400">
        <f>AVERAGE(L32:N32)</f>
        <v>3000</v>
      </c>
      <c r="L32" s="398">
        <f>'Month 1 rv'!H49</f>
        <v>3000</v>
      </c>
      <c r="M32" s="398">
        <f>'Month 2 rv'!H49</f>
        <v>3000</v>
      </c>
      <c r="N32" s="398">
        <f>'Month 3 rv'!H49</f>
        <v>3000</v>
      </c>
      <c r="O32" s="383">
        <f>'assumptions updated'!N52</f>
        <v>3000</v>
      </c>
      <c r="P32" s="383">
        <f>'assumptions updated'!O52</f>
        <v>3000</v>
      </c>
      <c r="Q32" s="383">
        <f>'assumptions updated'!P52</f>
        <v>3000</v>
      </c>
      <c r="R32" s="383">
        <f>'assumptions updated'!Q52</f>
        <v>3000</v>
      </c>
      <c r="S32" s="383">
        <f>'assumptions updated'!R52</f>
        <v>3000</v>
      </c>
      <c r="T32" s="383">
        <f>'assumptions updated'!S52</f>
        <v>3000</v>
      </c>
      <c r="U32" s="383">
        <f>'assumptions updated'!T52</f>
        <v>3000</v>
      </c>
      <c r="V32" s="383">
        <f>'assumptions updated'!U52</f>
        <v>3000</v>
      </c>
      <c r="W32" s="383">
        <f>'assumptions updated'!V52</f>
        <v>3000</v>
      </c>
      <c r="Y32" s="383">
        <f>SUM(L32:X32)</f>
        <v>36000</v>
      </c>
      <c r="AA32" s="406">
        <f>H32-Y32</f>
        <v>0</v>
      </c>
    </row>
    <row r="33" spans="2:27" ht="16">
      <c r="B33" s="387" t="s">
        <v>502</v>
      </c>
      <c r="C33" s="377" t="s">
        <v>503</v>
      </c>
      <c r="D33" s="377"/>
      <c r="E33" s="384">
        <f>SUM(E32:E32)</f>
        <v>9000</v>
      </c>
      <c r="F33" s="384">
        <f>SUM(F32:F32)</f>
        <v>9000</v>
      </c>
      <c r="G33" s="404">
        <f>SUM(G32:G32)</f>
        <v>0</v>
      </c>
      <c r="H33" s="384">
        <f>SUM(H32:H32)</f>
        <v>36000</v>
      </c>
      <c r="I33" s="392"/>
      <c r="J33" s="392"/>
      <c r="K33" s="384">
        <f t="shared" ref="K33:AA33" si="7">SUM(K32:K32)</f>
        <v>3000</v>
      </c>
      <c r="L33" s="384">
        <f t="shared" si="7"/>
        <v>3000</v>
      </c>
      <c r="M33" s="384">
        <f t="shared" si="7"/>
        <v>3000</v>
      </c>
      <c r="N33" s="384">
        <f t="shared" si="7"/>
        <v>3000</v>
      </c>
      <c r="O33" s="384">
        <f t="shared" si="7"/>
        <v>3000</v>
      </c>
      <c r="P33" s="384">
        <f t="shared" si="7"/>
        <v>3000</v>
      </c>
      <c r="Q33" s="384">
        <f t="shared" si="7"/>
        <v>3000</v>
      </c>
      <c r="R33" s="384">
        <f t="shared" si="7"/>
        <v>3000</v>
      </c>
      <c r="S33" s="384">
        <f t="shared" si="7"/>
        <v>3000</v>
      </c>
      <c r="T33" s="384">
        <f t="shared" si="7"/>
        <v>3000</v>
      </c>
      <c r="U33" s="384">
        <f t="shared" si="7"/>
        <v>3000</v>
      </c>
      <c r="V33" s="384">
        <f t="shared" si="7"/>
        <v>3000</v>
      </c>
      <c r="W33" s="384">
        <f t="shared" si="7"/>
        <v>3000</v>
      </c>
      <c r="X33" s="384">
        <f t="shared" si="7"/>
        <v>0</v>
      </c>
      <c r="Y33" s="384">
        <f t="shared" si="7"/>
        <v>36000</v>
      </c>
      <c r="Z33" s="392"/>
      <c r="AA33" s="404">
        <f t="shared" si="7"/>
        <v>0</v>
      </c>
    </row>
    <row r="34" spans="2:27">
      <c r="C34" s="380"/>
      <c r="G34" s="388"/>
      <c r="I34" s="375"/>
      <c r="J34" s="375"/>
      <c r="K34" s="388"/>
      <c r="L34" s="399"/>
      <c r="M34" s="399"/>
      <c r="N34" s="399"/>
      <c r="O34" s="375"/>
      <c r="P34" s="375"/>
      <c r="Q34" s="375"/>
      <c r="R34" s="375"/>
      <c r="S34" s="375"/>
      <c r="T34" s="375"/>
      <c r="U34" s="375"/>
      <c r="V34" s="375"/>
      <c r="W34" s="375"/>
      <c r="X34" s="375"/>
      <c r="Y34" s="375"/>
      <c r="Z34" s="375"/>
      <c r="AA34" s="375"/>
    </row>
    <row r="35" spans="2:27" ht="16">
      <c r="C35" s="377" t="s">
        <v>504</v>
      </c>
      <c r="D35" s="377"/>
      <c r="E35" s="384">
        <f>E33+E30+E27</f>
        <v>350466.23</v>
      </c>
      <c r="F35" s="384">
        <f>F33+F30+F27</f>
        <v>332785.83233333338</v>
      </c>
      <c r="G35" s="404">
        <f>G33+G30+G27</f>
        <v>-17680.397666666657</v>
      </c>
      <c r="H35" s="384">
        <f>H33+H30+H27</f>
        <v>1381810</v>
      </c>
      <c r="I35" s="392"/>
      <c r="J35" s="392"/>
      <c r="K35" s="384">
        <f t="shared" ref="K35:AA35" si="8">K33+K30+K27</f>
        <v>116822.07666666668</v>
      </c>
      <c r="L35" s="384">
        <f t="shared" si="8"/>
        <v>84105.33</v>
      </c>
      <c r="M35" s="384">
        <f t="shared" si="8"/>
        <v>126507.93000000001</v>
      </c>
      <c r="N35" s="384">
        <f t="shared" si="8"/>
        <v>139852.97</v>
      </c>
      <c r="O35" s="384">
        <f t="shared" si="8"/>
        <v>101634.16666666666</v>
      </c>
      <c r="P35" s="384">
        <f t="shared" si="8"/>
        <v>100550.83333333333</v>
      </c>
      <c r="Q35" s="384">
        <f t="shared" si="8"/>
        <v>147634.16666666666</v>
      </c>
      <c r="R35" s="384">
        <f t="shared" si="8"/>
        <v>124300.83333333331</v>
      </c>
      <c r="S35" s="384">
        <f t="shared" si="8"/>
        <v>117884.16666666666</v>
      </c>
      <c r="T35" s="384">
        <f t="shared" si="8"/>
        <v>142300.83333333334</v>
      </c>
      <c r="U35" s="384">
        <f t="shared" si="8"/>
        <v>101634.16666666666</v>
      </c>
      <c r="V35" s="384">
        <f t="shared" si="8"/>
        <v>100550.83333333333</v>
      </c>
      <c r="W35" s="384">
        <f t="shared" si="8"/>
        <v>147634.16666666666</v>
      </c>
      <c r="X35" s="384">
        <f t="shared" si="8"/>
        <v>0</v>
      </c>
      <c r="Y35" s="384">
        <f t="shared" si="8"/>
        <v>1434590.3966666667</v>
      </c>
      <c r="Z35" s="392"/>
      <c r="AA35" s="404">
        <f t="shared" si="8"/>
        <v>-52780.396666666704</v>
      </c>
    </row>
    <row r="36" spans="2:27">
      <c r="C36" s="371"/>
      <c r="G36" s="388"/>
      <c r="I36" s="375"/>
      <c r="J36" s="375"/>
      <c r="K36" s="388"/>
      <c r="L36" s="399"/>
      <c r="M36" s="399"/>
      <c r="N36" s="399"/>
      <c r="O36" s="375"/>
      <c r="P36" s="375"/>
      <c r="Q36" s="375"/>
      <c r="R36" s="375"/>
      <c r="S36" s="375"/>
      <c r="T36" s="375"/>
      <c r="U36" s="375"/>
      <c r="V36" s="375"/>
      <c r="W36" s="375"/>
      <c r="X36" s="375"/>
      <c r="Y36" s="375"/>
      <c r="Z36" s="375"/>
      <c r="AA36" s="375"/>
    </row>
    <row r="37" spans="2:27" ht="16">
      <c r="C37" s="377" t="s">
        <v>505</v>
      </c>
      <c r="D37" s="377"/>
      <c r="E37" s="384">
        <f>E35+E14</f>
        <v>504512.23</v>
      </c>
      <c r="F37" s="384">
        <f>F35+F14</f>
        <v>488076.79123744299</v>
      </c>
      <c r="G37" s="404">
        <f>G35+G14</f>
        <v>-16435.438762557056</v>
      </c>
      <c r="H37" s="384">
        <f>H35+H14</f>
        <v>1997910</v>
      </c>
      <c r="I37" s="392"/>
      <c r="J37" s="392"/>
      <c r="K37" s="384">
        <f t="shared" ref="K37:AA37" si="9">K35+K14</f>
        <v>168170.74333333335</v>
      </c>
      <c r="L37" s="384">
        <f t="shared" si="9"/>
        <v>134692.32999999999</v>
      </c>
      <c r="M37" s="384">
        <f t="shared" si="9"/>
        <v>178105.93</v>
      </c>
      <c r="N37" s="384">
        <f t="shared" si="9"/>
        <v>191713.97</v>
      </c>
      <c r="O37" s="384">
        <f t="shared" si="9"/>
        <v>153960.46803652967</v>
      </c>
      <c r="P37" s="384">
        <f t="shared" si="9"/>
        <v>151189.1894977169</v>
      </c>
      <c r="Q37" s="384">
        <f t="shared" si="9"/>
        <v>199960.46803652967</v>
      </c>
      <c r="R37" s="384">
        <f t="shared" si="9"/>
        <v>176627.13470319632</v>
      </c>
      <c r="S37" s="384">
        <f t="shared" si="9"/>
        <v>165146.63242009131</v>
      </c>
      <c r="T37" s="384">
        <f t="shared" si="9"/>
        <v>194627.13470319635</v>
      </c>
      <c r="U37" s="384">
        <f t="shared" si="9"/>
        <v>152272.52283105021</v>
      </c>
      <c r="V37" s="384">
        <f t="shared" si="9"/>
        <v>152877.13470319635</v>
      </c>
      <c r="W37" s="384">
        <f t="shared" si="9"/>
        <v>198272.52283105021</v>
      </c>
      <c r="X37" s="384">
        <f t="shared" si="9"/>
        <v>0</v>
      </c>
      <c r="Y37" s="384">
        <f t="shared" si="9"/>
        <v>2049445.4377625571</v>
      </c>
      <c r="Z37" s="392"/>
      <c r="AA37" s="404">
        <f t="shared" si="9"/>
        <v>-51535.437762557005</v>
      </c>
    </row>
    <row r="38" spans="2:27">
      <c r="C38" s="380"/>
      <c r="G38" s="388"/>
      <c r="I38" s="375"/>
      <c r="J38" s="375"/>
      <c r="K38" s="388"/>
      <c r="L38" s="399"/>
      <c r="M38" s="399"/>
      <c r="N38" s="399"/>
      <c r="O38" s="375"/>
      <c r="P38" s="375"/>
      <c r="Q38" s="375"/>
      <c r="R38" s="375"/>
      <c r="S38" s="375"/>
      <c r="T38" s="375"/>
      <c r="U38" s="375"/>
      <c r="V38" s="375"/>
      <c r="W38" s="375"/>
      <c r="X38" s="375"/>
      <c r="Y38" s="375"/>
      <c r="Z38" s="375"/>
      <c r="AA38" s="375"/>
    </row>
    <row r="39" spans="2:27" ht="16">
      <c r="C39" s="377" t="s">
        <v>506</v>
      </c>
      <c r="E39" s="384">
        <f>E37</f>
        <v>504512.23</v>
      </c>
      <c r="F39" s="384">
        <f>F37</f>
        <v>488076.79123744299</v>
      </c>
      <c r="G39" s="404">
        <f>G37</f>
        <v>-16435.438762557056</v>
      </c>
      <c r="H39" s="384">
        <f>H37</f>
        <v>1997910</v>
      </c>
      <c r="I39" s="392"/>
      <c r="J39" s="392"/>
      <c r="K39" s="384">
        <f t="shared" ref="K39:AA39" si="10">K37</f>
        <v>168170.74333333335</v>
      </c>
      <c r="L39" s="384">
        <f t="shared" si="10"/>
        <v>134692.32999999999</v>
      </c>
      <c r="M39" s="384">
        <f t="shared" si="10"/>
        <v>178105.93</v>
      </c>
      <c r="N39" s="384">
        <f t="shared" si="10"/>
        <v>191713.97</v>
      </c>
      <c r="O39" s="384">
        <f t="shared" si="10"/>
        <v>153960.46803652967</v>
      </c>
      <c r="P39" s="384">
        <f t="shared" si="10"/>
        <v>151189.1894977169</v>
      </c>
      <c r="Q39" s="384">
        <f t="shared" si="10"/>
        <v>199960.46803652967</v>
      </c>
      <c r="R39" s="384">
        <f t="shared" si="10"/>
        <v>176627.13470319632</v>
      </c>
      <c r="S39" s="384">
        <f t="shared" si="10"/>
        <v>165146.63242009131</v>
      </c>
      <c r="T39" s="384">
        <f t="shared" si="10"/>
        <v>194627.13470319635</v>
      </c>
      <c r="U39" s="384">
        <f t="shared" si="10"/>
        <v>152272.52283105021</v>
      </c>
      <c r="V39" s="384">
        <f t="shared" si="10"/>
        <v>152877.13470319635</v>
      </c>
      <c r="W39" s="384">
        <f t="shared" si="10"/>
        <v>198272.52283105021</v>
      </c>
      <c r="X39" s="384">
        <f t="shared" si="10"/>
        <v>0</v>
      </c>
      <c r="Y39" s="384">
        <f t="shared" si="10"/>
        <v>2049445.4377625571</v>
      </c>
      <c r="Z39" s="392"/>
      <c r="AA39" s="404">
        <f t="shared" si="10"/>
        <v>-51535.437762557005</v>
      </c>
    </row>
  </sheetData>
  <conditionalFormatting sqref="B3:B4">
    <cfRule type="duplicateValues" dxfId="16" priority="20"/>
    <cfRule type="duplicateValues" dxfId="15" priority="21"/>
  </conditionalFormatting>
  <conditionalFormatting sqref="B7 B25">
    <cfRule type="expression" dxfId="14" priority="28" stopIfTrue="1">
      <formula>AND(COUNTIF($B$25:$B$25, B7)+COUNTIF($B$7:$B$7, B7)&gt;1,NOT(ISBLANK(B7)))</formula>
    </cfRule>
  </conditionalFormatting>
  <conditionalFormatting sqref="B7:B8 B22:B25">
    <cfRule type="expression" dxfId="13" priority="29" stopIfTrue="1">
      <formula>AND(COUNTIF($B$22:$B$25, B7)+COUNTIF($B$7:$B$8, B7)&gt;1,NOT(ISBLANK(B7)))</formula>
    </cfRule>
  </conditionalFormatting>
  <conditionalFormatting sqref="B8 B24">
    <cfRule type="expression" dxfId="12" priority="26" stopIfTrue="1">
      <formula>AND(COUNTIF($B$24:$B$24, B8)+COUNTIF($B$8:$B$8, B8)&gt;1,NOT(ISBLANK(B8)))</formula>
    </cfRule>
  </conditionalFormatting>
  <conditionalFormatting sqref="B9 B11:B13 B15:B17 B20:B21">
    <cfRule type="expression" dxfId="11" priority="38" stopIfTrue="1">
      <formula>AND(COUNTIF($B$11:$B$13, B9)+COUNTIF($B$15:$B$17, B9)+COUNTIF($B$20:$B$21, B9)+COUNTIF($B$9:$B$9, B9)&gt;1,NOT(ISBLANK(B9)))</formula>
    </cfRule>
  </conditionalFormatting>
  <conditionalFormatting sqref="B14">
    <cfRule type="duplicateValues" dxfId="10" priority="6"/>
    <cfRule type="duplicateValues" dxfId="9" priority="7"/>
  </conditionalFormatting>
  <conditionalFormatting sqref="B22">
    <cfRule type="duplicateValues" dxfId="8" priority="12"/>
  </conditionalFormatting>
  <conditionalFormatting sqref="B23">
    <cfRule type="duplicateValues" dxfId="7" priority="10"/>
  </conditionalFormatting>
  <conditionalFormatting sqref="B26">
    <cfRule type="duplicateValues" dxfId="6" priority="3"/>
    <cfRule type="duplicateValues" dxfId="5" priority="4"/>
    <cfRule type="duplicateValues" dxfId="4" priority="5"/>
  </conditionalFormatting>
  <conditionalFormatting sqref="B27">
    <cfRule type="duplicateValues" dxfId="3" priority="1"/>
    <cfRule type="duplicateValues" dxfId="2" priority="2"/>
  </conditionalFormatting>
  <conditionalFormatting sqref="L4:W4">
    <cfRule type="expression" dxfId="1" priority="19">
      <formula>L$1="A"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EB90-F6EC-5F4F-9E0C-7FADD9436E05}">
  <dimension ref="A1:J32"/>
  <sheetViews>
    <sheetView topLeftCell="C7" zoomScale="160" zoomScaleNormal="160" workbookViewId="0">
      <selection activeCell="F1" sqref="F1"/>
    </sheetView>
  </sheetViews>
  <sheetFormatPr baseColWidth="10" defaultRowHeight="13"/>
  <cols>
    <col min="1" max="1" width="15.1640625" customWidth="1"/>
    <col min="3" max="3" width="18.83203125" customWidth="1"/>
    <col min="4" max="4" width="30.6640625" bestFit="1" customWidth="1"/>
  </cols>
  <sheetData>
    <row r="1" spans="1:10" ht="14" thickBot="1">
      <c r="A1" s="411" t="s">
        <v>511</v>
      </c>
      <c r="B1" s="411" t="s">
        <v>512</v>
      </c>
      <c r="C1" s="411" t="s">
        <v>513</v>
      </c>
      <c r="D1" s="412" t="s">
        <v>514</v>
      </c>
      <c r="E1" s="413" t="s">
        <v>515</v>
      </c>
      <c r="F1" s="414" t="s">
        <v>516</v>
      </c>
      <c r="G1" s="413" t="s">
        <v>517</v>
      </c>
      <c r="H1" s="413" t="s">
        <v>518</v>
      </c>
      <c r="I1" s="414" t="s">
        <v>519</v>
      </c>
      <c r="J1" s="413" t="s">
        <v>520</v>
      </c>
    </row>
    <row r="2" spans="1:10" ht="14" customHeight="1" thickBot="1">
      <c r="A2" s="705" t="s">
        <v>557</v>
      </c>
      <c r="B2" s="708" t="s">
        <v>521</v>
      </c>
      <c r="C2" s="708" t="s">
        <v>522</v>
      </c>
      <c r="D2" s="415" t="s">
        <v>523</v>
      </c>
      <c r="E2" s="416">
        <f>'DfE format report'!E9</f>
        <v>120422.49807692308</v>
      </c>
      <c r="F2" s="417">
        <f>'DfE format report'!F9</f>
        <v>121395.72075869337</v>
      </c>
      <c r="G2" s="418">
        <f>F2-E2</f>
        <v>973.22268177029036</v>
      </c>
      <c r="H2" s="416">
        <f>'DfE format report'!Y9</f>
        <v>480651.1042413066</v>
      </c>
      <c r="I2" s="417">
        <f>'DfE format report'!H9</f>
        <v>481624.32692307699</v>
      </c>
      <c r="J2" s="418">
        <f>I2-H2</f>
        <v>973.22268177039223</v>
      </c>
    </row>
    <row r="3" spans="1:10" ht="14" thickBot="1">
      <c r="A3" s="706"/>
      <c r="B3" s="709"/>
      <c r="C3" s="709"/>
      <c r="D3" s="415" t="s">
        <v>524</v>
      </c>
      <c r="E3" s="416">
        <f>'DfE format report'!E11</f>
        <v>5134.8666666666659</v>
      </c>
      <c r="F3" s="417">
        <f>'DfE format report'!F11</f>
        <v>5176.3652968036531</v>
      </c>
      <c r="G3" s="418">
        <f t="shared" ref="G3:G8" si="0">F3-E3</f>
        <v>41.498630136987231</v>
      </c>
      <c r="H3" s="416">
        <f>'DfE format report'!Y11</f>
        <v>20495.168036529682</v>
      </c>
      <c r="I3" s="417">
        <f>'DfE format report'!H11</f>
        <v>20536.666666666668</v>
      </c>
      <c r="J3" s="418">
        <f t="shared" ref="J3:J8" si="1">I3-H3</f>
        <v>41.498630136986321</v>
      </c>
    </row>
    <row r="4" spans="1:10" ht="14" thickBot="1">
      <c r="A4" s="706"/>
      <c r="B4" s="709"/>
      <c r="C4" s="709"/>
      <c r="D4" s="415" t="s">
        <v>525</v>
      </c>
      <c r="E4" s="416">
        <f>'DfE format report'!E10</f>
        <v>9874.743589743588</v>
      </c>
      <c r="F4" s="417">
        <f>'DfE format report'!F10</f>
        <v>9954.5486476993319</v>
      </c>
      <c r="G4" s="418">
        <f t="shared" si="0"/>
        <v>79.805057955743905</v>
      </c>
      <c r="H4" s="416">
        <f>'DfE format report'!Y10</f>
        <v>39413.784685633997</v>
      </c>
      <c r="I4" s="417">
        <f>'DfE format report'!H10</f>
        <v>39493.58974358975</v>
      </c>
      <c r="J4" s="418">
        <f t="shared" si="1"/>
        <v>79.805057955753</v>
      </c>
    </row>
    <row r="5" spans="1:10" ht="14" thickBot="1">
      <c r="A5" s="706"/>
      <c r="B5" s="709"/>
      <c r="C5" s="709"/>
      <c r="D5" s="415" t="s">
        <v>526</v>
      </c>
      <c r="E5" s="416">
        <f>P3</f>
        <v>0</v>
      </c>
      <c r="F5" s="417">
        <f>Q3</f>
        <v>0</v>
      </c>
      <c r="G5" s="418">
        <f t="shared" si="0"/>
        <v>0</v>
      </c>
      <c r="H5" s="416">
        <f>S3</f>
        <v>0</v>
      </c>
      <c r="I5" s="417">
        <f>T3</f>
        <v>0</v>
      </c>
      <c r="J5" s="418">
        <f t="shared" si="1"/>
        <v>0</v>
      </c>
    </row>
    <row r="6" spans="1:10" ht="14" thickBot="1">
      <c r="A6" s="706"/>
      <c r="B6" s="709"/>
      <c r="C6" s="709"/>
      <c r="D6" s="415" t="s">
        <v>527</v>
      </c>
      <c r="E6" s="416">
        <f>'DfE format report'!E13</f>
        <v>11553.449999999997</v>
      </c>
      <c r="F6" s="417">
        <f>'DfE format report'!F13</f>
        <v>11646.821917808218</v>
      </c>
      <c r="G6" s="418">
        <f t="shared" si="0"/>
        <v>93.371917808221042</v>
      </c>
      <c r="H6" s="416">
        <f>'DfE format report'!Y13</f>
        <v>46114.128082191783</v>
      </c>
      <c r="I6" s="417">
        <f>'DfE format report'!H13</f>
        <v>46207.5</v>
      </c>
      <c r="J6" s="418">
        <f t="shared" si="1"/>
        <v>93.371917808217404</v>
      </c>
    </row>
    <row r="7" spans="1:10" ht="14" thickBot="1">
      <c r="A7" s="706"/>
      <c r="B7" s="709"/>
      <c r="C7" s="709"/>
      <c r="D7" s="415" t="s">
        <v>528</v>
      </c>
      <c r="E7" s="416">
        <f>'DfE format report'!E12</f>
        <v>7060.4416666666657</v>
      </c>
      <c r="F7" s="417">
        <f>'DfE format report'!F12</f>
        <v>7117.5022831050228</v>
      </c>
      <c r="G7" s="418">
        <f t="shared" si="0"/>
        <v>57.060616438357101</v>
      </c>
      <c r="H7" s="416">
        <f>'DfE format report'!Y12</f>
        <v>28180.856050228311</v>
      </c>
      <c r="I7" s="417">
        <f>'DfE format report'!H12</f>
        <v>28237.916666666664</v>
      </c>
      <c r="J7" s="418">
        <f t="shared" si="1"/>
        <v>57.060616438353463</v>
      </c>
    </row>
    <row r="8" spans="1:10" ht="14" thickBot="1">
      <c r="A8" s="706"/>
      <c r="B8" s="709"/>
      <c r="C8" s="709"/>
      <c r="D8" s="415" t="s">
        <v>529</v>
      </c>
      <c r="E8" s="416">
        <f>P4</f>
        <v>0</v>
      </c>
      <c r="F8" s="417">
        <f>Q4</f>
        <v>0</v>
      </c>
      <c r="G8" s="418">
        <f t="shared" si="0"/>
        <v>0</v>
      </c>
      <c r="H8" s="416">
        <f>S4</f>
        <v>0</v>
      </c>
      <c r="I8" s="417">
        <f>T4</f>
        <v>0</v>
      </c>
      <c r="J8" s="418">
        <f t="shared" si="1"/>
        <v>0</v>
      </c>
    </row>
    <row r="9" spans="1:10" ht="14" thickBot="1">
      <c r="A9" s="706"/>
      <c r="B9" s="709"/>
      <c r="C9" s="710"/>
      <c r="D9" s="419" t="s">
        <v>530</v>
      </c>
      <c r="E9" s="420">
        <f t="shared" ref="E9:J9" si="2">SUM(E2:E8)</f>
        <v>154046</v>
      </c>
      <c r="F9" s="420">
        <f t="shared" si="2"/>
        <v>155290.95890410958</v>
      </c>
      <c r="G9" s="420">
        <f t="shared" si="2"/>
        <v>1244.9589041095996</v>
      </c>
      <c r="H9" s="420">
        <f t="shared" si="2"/>
        <v>614855.04109589045</v>
      </c>
      <c r="I9" s="420">
        <f t="shared" si="2"/>
        <v>616100.00000000012</v>
      </c>
      <c r="J9" s="420">
        <f t="shared" si="2"/>
        <v>1244.9589041097024</v>
      </c>
    </row>
    <row r="10" spans="1:10" ht="14" thickBot="1">
      <c r="A10" s="706"/>
      <c r="B10" s="709"/>
      <c r="C10" s="711" t="s">
        <v>531</v>
      </c>
      <c r="D10" s="415" t="s">
        <v>546</v>
      </c>
      <c r="E10" s="416">
        <f>'DfE format report'!E16</f>
        <v>11500</v>
      </c>
      <c r="F10" s="417">
        <f>'DfE format report'!F16</f>
        <v>11250</v>
      </c>
      <c r="G10" s="418">
        <f t="shared" ref="G10:G20" si="3">F10-E10</f>
        <v>-250</v>
      </c>
      <c r="H10" s="416">
        <f>'DfE format report'!Y16</f>
        <v>45250</v>
      </c>
      <c r="I10" s="417">
        <f>'DfE format report'!H16</f>
        <v>45000</v>
      </c>
      <c r="J10" s="418">
        <f t="shared" ref="J10:J24" si="4">I10-H10</f>
        <v>-250</v>
      </c>
    </row>
    <row r="11" spans="1:10" ht="14" thickBot="1">
      <c r="A11" s="706"/>
      <c r="B11" s="709"/>
      <c r="C11" s="712"/>
      <c r="D11" s="415" t="s">
        <v>548</v>
      </c>
      <c r="E11" s="416">
        <f>'DfE format report'!E17</f>
        <v>22809</v>
      </c>
      <c r="F11" s="417">
        <f>'DfE format report'!F17</f>
        <v>22902.5</v>
      </c>
      <c r="G11" s="418">
        <f t="shared" si="3"/>
        <v>93.5</v>
      </c>
      <c r="H11" s="416">
        <f>'DfE format report'!Y17</f>
        <v>91516.500000000015</v>
      </c>
      <c r="I11" s="417">
        <f>'DfE format report'!H17</f>
        <v>91610</v>
      </c>
      <c r="J11" s="418">
        <f t="shared" si="4"/>
        <v>93.499999999985448</v>
      </c>
    </row>
    <row r="12" spans="1:10" ht="14" thickBot="1">
      <c r="A12" s="706"/>
      <c r="B12" s="709"/>
      <c r="C12" s="712"/>
      <c r="D12" s="415" t="s">
        <v>549</v>
      </c>
      <c r="E12" s="416">
        <f>'DfE format report'!E18</f>
        <v>98701</v>
      </c>
      <c r="F12" s="417">
        <f>'DfE format report'!F18</f>
        <v>98800</v>
      </c>
      <c r="G12" s="418">
        <f t="shared" si="3"/>
        <v>99</v>
      </c>
      <c r="H12" s="416">
        <f>'DfE format report'!Y18</f>
        <v>395101</v>
      </c>
      <c r="I12" s="417">
        <f>'DfE format report'!H18</f>
        <v>395200</v>
      </c>
      <c r="J12" s="418">
        <f t="shared" si="4"/>
        <v>99</v>
      </c>
    </row>
    <row r="13" spans="1:10" ht="14" thickBot="1">
      <c r="A13" s="706"/>
      <c r="B13" s="709"/>
      <c r="C13" s="712"/>
      <c r="D13" s="415" t="s">
        <v>550</v>
      </c>
      <c r="E13" s="416">
        <f>'DfE format report'!E19</f>
        <v>20391</v>
      </c>
      <c r="F13" s="417">
        <f>'DfE format report'!F19</f>
        <v>18000</v>
      </c>
      <c r="G13" s="418">
        <f t="shared" si="3"/>
        <v>-2391</v>
      </c>
      <c r="H13" s="416">
        <f>'DfE format report'!Y19</f>
        <v>74391</v>
      </c>
      <c r="I13" s="417">
        <f>'DfE format report'!H19</f>
        <v>72000</v>
      </c>
      <c r="J13" s="418">
        <f t="shared" si="4"/>
        <v>-2391</v>
      </c>
    </row>
    <row r="14" spans="1:10" ht="14" thickBot="1">
      <c r="A14" s="706"/>
      <c r="B14" s="709"/>
      <c r="C14" s="712"/>
      <c r="D14" s="415" t="s">
        <v>534</v>
      </c>
      <c r="E14" s="416">
        <f>'DfE format report'!E20</f>
        <v>37456</v>
      </c>
      <c r="F14" s="417">
        <f>'DfE format report'!F20</f>
        <v>42000</v>
      </c>
      <c r="G14" s="418">
        <f t="shared" si="3"/>
        <v>4544</v>
      </c>
      <c r="H14" s="416">
        <f>'DfE format report'!Y20</f>
        <v>163456</v>
      </c>
      <c r="I14" s="417">
        <f>'DfE format report'!H20</f>
        <v>168000</v>
      </c>
      <c r="J14" s="418">
        <f t="shared" si="4"/>
        <v>4544</v>
      </c>
    </row>
    <row r="15" spans="1:10" ht="14" thickBot="1">
      <c r="A15" s="706"/>
      <c r="B15" s="709"/>
      <c r="C15" s="712"/>
      <c r="D15" s="415" t="s">
        <v>551</v>
      </c>
      <c r="E15" s="416">
        <f>'DfE format report'!E21</f>
        <v>5180.5999999999985</v>
      </c>
      <c r="F15" s="417">
        <f>'DfE format report'!F21</f>
        <v>4333.3333333333358</v>
      </c>
      <c r="G15" s="418">
        <f t="shared" si="3"/>
        <v>-847.26666666666279</v>
      </c>
      <c r="H15" s="416">
        <f>'DfE format report'!Y21</f>
        <v>59347.26666666667</v>
      </c>
      <c r="I15" s="417">
        <f>'DfE format report'!H21</f>
        <v>65000</v>
      </c>
      <c r="J15" s="418">
        <f t="shared" si="4"/>
        <v>5652.7333333333299</v>
      </c>
    </row>
    <row r="16" spans="1:10" ht="14" thickBot="1">
      <c r="A16" s="706"/>
      <c r="B16" s="709"/>
      <c r="C16" s="712"/>
      <c r="D16" s="415" t="s">
        <v>533</v>
      </c>
      <c r="E16" s="416">
        <f>'DfE format report'!E22</f>
        <v>12941</v>
      </c>
      <c r="F16" s="417">
        <f>'DfE format report'!F22</f>
        <v>13000</v>
      </c>
      <c r="G16" s="418">
        <f t="shared" si="3"/>
        <v>59</v>
      </c>
      <c r="H16" s="416">
        <f>'DfE format report'!Y22</f>
        <v>45441</v>
      </c>
      <c r="I16" s="417">
        <f>'DfE format report'!H22</f>
        <v>39000</v>
      </c>
      <c r="J16" s="418">
        <f t="shared" si="4"/>
        <v>-6441</v>
      </c>
    </row>
    <row r="17" spans="1:10" ht="14" thickBot="1">
      <c r="A17" s="706"/>
      <c r="B17" s="709"/>
      <c r="C17" s="712"/>
      <c r="D17" s="415" t="s">
        <v>536</v>
      </c>
      <c r="E17" s="416">
        <f>'DfE format report'!E23</f>
        <v>7120</v>
      </c>
      <c r="F17" s="417">
        <f>'DfE format report'!F23</f>
        <v>21000</v>
      </c>
      <c r="G17" s="418">
        <f t="shared" si="3"/>
        <v>13880</v>
      </c>
      <c r="H17" s="416">
        <f>'DfE format report'!Y23</f>
        <v>86120</v>
      </c>
      <c r="I17" s="417">
        <f>'DfE format report'!H23</f>
        <v>100000</v>
      </c>
      <c r="J17" s="418">
        <f t="shared" si="4"/>
        <v>13880</v>
      </c>
    </row>
    <row r="18" spans="1:10" ht="14" thickBot="1">
      <c r="A18" s="706"/>
      <c r="B18" s="709"/>
      <c r="C18" s="712"/>
      <c r="D18" s="415" t="s">
        <v>535</v>
      </c>
      <c r="E18" s="416">
        <f>'DfE format report'!E24</f>
        <v>35624.639999999999</v>
      </c>
      <c r="F18" s="417">
        <f>'DfE format report'!F24</f>
        <v>11700</v>
      </c>
      <c r="G18" s="418">
        <f t="shared" si="3"/>
        <v>-23924.639999999999</v>
      </c>
      <c r="H18" s="416">
        <f>'DfE format report'!Y24</f>
        <v>105824.64</v>
      </c>
      <c r="I18" s="417">
        <f>'DfE format report'!H24</f>
        <v>46800</v>
      </c>
      <c r="J18" s="418">
        <f t="shared" si="4"/>
        <v>-59024.639999999999</v>
      </c>
    </row>
    <row r="19" spans="1:10" ht="14" thickBot="1">
      <c r="A19" s="706"/>
      <c r="B19" s="709"/>
      <c r="C19" s="712"/>
      <c r="D19" s="415" t="s">
        <v>547</v>
      </c>
      <c r="E19" s="416">
        <f>'DfE format report'!E25</f>
        <v>13675</v>
      </c>
      <c r="F19" s="417">
        <f>'DfE format report'!F25</f>
        <v>5000</v>
      </c>
      <c r="G19" s="418">
        <f t="shared" si="3"/>
        <v>-8675</v>
      </c>
      <c r="H19" s="416">
        <f>'DfE format report'!Y25</f>
        <v>28675</v>
      </c>
      <c r="I19" s="417">
        <f>'DfE format report'!H25</f>
        <v>20000</v>
      </c>
      <c r="J19" s="418">
        <f t="shared" si="4"/>
        <v>-8675</v>
      </c>
    </row>
    <row r="20" spans="1:10" ht="14" thickBot="1">
      <c r="A20" s="706"/>
      <c r="B20" s="709"/>
      <c r="C20" s="712"/>
      <c r="D20" s="415" t="s">
        <v>532</v>
      </c>
      <c r="E20" s="416">
        <f>'DfE format report'!E26</f>
        <v>51068</v>
      </c>
      <c r="F20" s="417">
        <f>'DfE format report'!F26</f>
        <v>50800</v>
      </c>
      <c r="G20" s="418">
        <f t="shared" si="3"/>
        <v>-268</v>
      </c>
      <c r="H20" s="416">
        <f>'DfE format report'!Y26</f>
        <v>203468.00000000003</v>
      </c>
      <c r="I20" s="417">
        <f>'DfE format report'!H26</f>
        <v>203200</v>
      </c>
      <c r="J20" s="418">
        <f t="shared" si="4"/>
        <v>-268.0000000000291</v>
      </c>
    </row>
    <row r="21" spans="1:10" ht="14" thickBot="1">
      <c r="A21" s="706"/>
      <c r="B21" s="709"/>
      <c r="C21" s="713"/>
      <c r="D21" s="419" t="s">
        <v>537</v>
      </c>
      <c r="E21" s="420">
        <f t="shared" ref="E21:J21" si="5">SUM(E10:E20)</f>
        <v>316466.24</v>
      </c>
      <c r="F21" s="420">
        <f t="shared" si="5"/>
        <v>298785.83333333337</v>
      </c>
      <c r="G21" s="420">
        <f t="shared" si="5"/>
        <v>-17680.406666666662</v>
      </c>
      <c r="H21" s="420">
        <f t="shared" si="5"/>
        <v>1298590.4066666667</v>
      </c>
      <c r="I21" s="420">
        <f t="shared" si="5"/>
        <v>1245810</v>
      </c>
      <c r="J21" s="420">
        <f t="shared" si="5"/>
        <v>-52780.406666666713</v>
      </c>
    </row>
    <row r="22" spans="1:10" ht="14" thickBot="1">
      <c r="A22" s="706"/>
      <c r="B22" s="709"/>
      <c r="C22" s="703" t="s">
        <v>498</v>
      </c>
      <c r="D22" s="415" t="s">
        <v>553</v>
      </c>
      <c r="E22" s="416">
        <f>'DfE format report'!E29</f>
        <v>24999.989999999998</v>
      </c>
      <c r="F22" s="417">
        <f>'DfE format report'!F29</f>
        <v>24999.999000000003</v>
      </c>
      <c r="G22" s="418">
        <f t="shared" ref="G22" si="6">F22-E22</f>
        <v>9.0000000054715201E-3</v>
      </c>
      <c r="H22" s="416">
        <f>'DfE format report'!Y29</f>
        <v>99999.989999999991</v>
      </c>
      <c r="I22" s="417">
        <f>'DfE format report'!H29</f>
        <v>100000</v>
      </c>
      <c r="J22" s="418">
        <f t="shared" si="4"/>
        <v>1.0000000009313226E-2</v>
      </c>
    </row>
    <row r="23" spans="1:10" ht="14" thickBot="1">
      <c r="A23" s="706"/>
      <c r="B23" s="709"/>
      <c r="C23" s="704"/>
      <c r="D23" s="419" t="s">
        <v>552</v>
      </c>
      <c r="E23" s="420">
        <f>E22</f>
        <v>24999.989999999998</v>
      </c>
      <c r="F23" s="420">
        <f>F22</f>
        <v>24999.999000000003</v>
      </c>
      <c r="G23" s="420">
        <f>SUM(G22:G22)</f>
        <v>9.0000000054715201E-3</v>
      </c>
      <c r="H23" s="420">
        <f>H22</f>
        <v>99999.989999999991</v>
      </c>
      <c r="I23" s="420">
        <f>I22</f>
        <v>100000</v>
      </c>
      <c r="J23" s="420">
        <f>SUM(J22:J22)</f>
        <v>1.0000000009313226E-2</v>
      </c>
    </row>
    <row r="24" spans="1:10" ht="14" thickBot="1">
      <c r="A24" s="706"/>
      <c r="B24" s="709"/>
      <c r="C24" s="415" t="s">
        <v>554</v>
      </c>
      <c r="D24" s="415" t="s">
        <v>556</v>
      </c>
      <c r="E24" s="416">
        <f>'DfE format report'!E32</f>
        <v>9000</v>
      </c>
      <c r="F24" s="417">
        <f>'DfE format report'!F32</f>
        <v>9000</v>
      </c>
      <c r="G24" s="418">
        <f t="shared" ref="G24" si="7">F24-E24</f>
        <v>0</v>
      </c>
      <c r="H24" s="416">
        <f>'DfE format report'!Y32</f>
        <v>36000</v>
      </c>
      <c r="I24" s="417">
        <f>'DfE format report'!H32</f>
        <v>36000</v>
      </c>
      <c r="J24" s="418">
        <f t="shared" si="4"/>
        <v>0</v>
      </c>
    </row>
    <row r="25" spans="1:10" ht="14" thickBot="1">
      <c r="A25" s="706"/>
      <c r="B25" s="709"/>
      <c r="C25" s="425"/>
      <c r="D25" s="419" t="s">
        <v>555</v>
      </c>
      <c r="E25" s="420">
        <f>E24</f>
        <v>9000</v>
      </c>
      <c r="F25" s="420">
        <f>F24</f>
        <v>9000</v>
      </c>
      <c r="G25" s="420">
        <f>SUM(G24:G24)</f>
        <v>0</v>
      </c>
      <c r="H25" s="420">
        <f>SUM(H24:H24)</f>
        <v>36000</v>
      </c>
      <c r="I25" s="420">
        <f>SUM(I24:I24)</f>
        <v>36000</v>
      </c>
      <c r="J25" s="420">
        <f>SUM(J24:J24)</f>
        <v>0</v>
      </c>
    </row>
    <row r="26" spans="1:10" ht="14" thickBot="1">
      <c r="A26" s="706"/>
      <c r="B26" s="710"/>
      <c r="C26" s="714" t="s">
        <v>538</v>
      </c>
      <c r="D26" s="715"/>
      <c r="E26" s="421">
        <f t="shared" ref="E26:J26" si="8">E21+E9+E23+E25</f>
        <v>504512.23</v>
      </c>
      <c r="F26" s="421">
        <f t="shared" si="8"/>
        <v>488076.79123744293</v>
      </c>
      <c r="G26" s="421">
        <f t="shared" si="8"/>
        <v>-16435.438762557056</v>
      </c>
      <c r="H26" s="421">
        <f t="shared" si="8"/>
        <v>2049445.4377625573</v>
      </c>
      <c r="I26" s="421">
        <f t="shared" si="8"/>
        <v>1997910</v>
      </c>
      <c r="J26" s="421">
        <f t="shared" si="8"/>
        <v>-51535.437762557005</v>
      </c>
    </row>
    <row r="27" spans="1:10" ht="14" thickBot="1">
      <c r="A27" s="706"/>
      <c r="B27" s="711" t="s">
        <v>539</v>
      </c>
      <c r="C27" s="711" t="s">
        <v>540</v>
      </c>
      <c r="D27" s="415" t="s">
        <v>541</v>
      </c>
      <c r="E27" s="416">
        <v>0</v>
      </c>
      <c r="F27" s="417">
        <v>0</v>
      </c>
      <c r="G27" s="418">
        <f>E27-F27</f>
        <v>0</v>
      </c>
      <c r="H27" s="418">
        <v>0</v>
      </c>
      <c r="I27" s="417">
        <v>0</v>
      </c>
      <c r="J27" s="418">
        <f>H27-I27</f>
        <v>0</v>
      </c>
    </row>
    <row r="28" spans="1:10" ht="14" thickBot="1">
      <c r="A28" s="706"/>
      <c r="B28" s="712"/>
      <c r="C28" s="712"/>
      <c r="D28" s="415" t="s">
        <v>542</v>
      </c>
      <c r="E28" s="416">
        <v>0</v>
      </c>
      <c r="F28" s="417">
        <v>0</v>
      </c>
      <c r="G28" s="418">
        <f t="shared" ref="G28:G31" si="9">E28-F28</f>
        <v>0</v>
      </c>
      <c r="H28" s="418">
        <v>0</v>
      </c>
      <c r="I28" s="417">
        <v>0</v>
      </c>
      <c r="J28" s="418">
        <f t="shared" ref="J28:J29" si="10">H28-I28</f>
        <v>0</v>
      </c>
    </row>
    <row r="29" spans="1:10" ht="14" thickBot="1">
      <c r="A29" s="706"/>
      <c r="B29" s="712"/>
      <c r="C29" s="712"/>
      <c r="D29" s="415" t="s">
        <v>543</v>
      </c>
      <c r="E29" s="416">
        <v>0</v>
      </c>
      <c r="F29" s="417">
        <v>0</v>
      </c>
      <c r="G29" s="418">
        <f t="shared" si="9"/>
        <v>0</v>
      </c>
      <c r="H29" s="418">
        <v>0</v>
      </c>
      <c r="I29" s="417">
        <v>0</v>
      </c>
      <c r="J29" s="418">
        <f t="shared" si="10"/>
        <v>0</v>
      </c>
    </row>
    <row r="30" spans="1:10" ht="14" thickBot="1">
      <c r="A30" s="706"/>
      <c r="B30" s="712"/>
      <c r="C30" s="713"/>
      <c r="D30" s="419" t="s">
        <v>544</v>
      </c>
      <c r="E30" s="422">
        <f>SUM(E27:E29)</f>
        <v>0</v>
      </c>
      <c r="F30" s="422">
        <f>SUM(F27:F29)</f>
        <v>0</v>
      </c>
      <c r="G30" s="422">
        <f t="shared" si="9"/>
        <v>0</v>
      </c>
      <c r="H30" s="422">
        <f>SUM(H27:H29)</f>
        <v>0</v>
      </c>
      <c r="I30" s="422">
        <f>SUM(I27:I29)</f>
        <v>0</v>
      </c>
      <c r="J30" s="422">
        <f t="shared" ref="J30:J31" si="11">H30-I30</f>
        <v>0</v>
      </c>
    </row>
    <row r="31" spans="1:10" ht="14" thickBot="1">
      <c r="A31" s="706"/>
      <c r="B31" s="713"/>
      <c r="C31" s="714" t="s">
        <v>545</v>
      </c>
      <c r="D31" s="715"/>
      <c r="E31" s="421">
        <f>E30</f>
        <v>0</v>
      </c>
      <c r="F31" s="423">
        <f>F30</f>
        <v>0</v>
      </c>
      <c r="G31" s="421">
        <f t="shared" si="9"/>
        <v>0</v>
      </c>
      <c r="H31" s="421">
        <f>H30</f>
        <v>0</v>
      </c>
      <c r="I31" s="423">
        <f>I30</f>
        <v>0</v>
      </c>
      <c r="J31" s="421">
        <f t="shared" si="11"/>
        <v>0</v>
      </c>
    </row>
    <row r="32" spans="1:10" ht="14" thickBot="1">
      <c r="A32" s="707"/>
      <c r="B32" s="700" t="s">
        <v>558</v>
      </c>
      <c r="C32" s="701"/>
      <c r="D32" s="702"/>
      <c r="E32" s="424">
        <f t="shared" ref="E32:J32" si="12">E26-E31</f>
        <v>504512.23</v>
      </c>
      <c r="F32" s="424">
        <f t="shared" si="12"/>
        <v>488076.79123744293</v>
      </c>
      <c r="G32" s="424">
        <f t="shared" si="12"/>
        <v>-16435.438762557056</v>
      </c>
      <c r="H32" s="424">
        <f t="shared" si="12"/>
        <v>2049445.4377625573</v>
      </c>
      <c r="I32" s="424">
        <f t="shared" si="12"/>
        <v>1997910</v>
      </c>
      <c r="J32" s="424">
        <f t="shared" si="12"/>
        <v>-51535.437762557005</v>
      </c>
    </row>
  </sheetData>
  <mergeCells count="10">
    <mergeCell ref="B32:D32"/>
    <mergeCell ref="C22:C23"/>
    <mergeCell ref="A2:A32"/>
    <mergeCell ref="B2:B26"/>
    <mergeCell ref="C2:C9"/>
    <mergeCell ref="C10:C21"/>
    <mergeCell ref="C26:D26"/>
    <mergeCell ref="B27:B31"/>
    <mergeCell ref="C27:C30"/>
    <mergeCell ref="C31:D31"/>
  </mergeCells>
  <pageMargins left="0.7" right="0.7" top="0.75" bottom="0.75" header="0.3" footer="0.3"/>
  <ignoredErrors>
    <ignoredError sqref="G5 G8 G21:G31 E24:F24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312D-4304-C642-87D8-88DDCCB82058}">
  <dimension ref="A3:R22"/>
  <sheetViews>
    <sheetView zoomScale="150" workbookViewId="0">
      <selection activeCell="F3" sqref="F3:R22"/>
    </sheetView>
  </sheetViews>
  <sheetFormatPr baseColWidth="10" defaultRowHeight="13"/>
  <cols>
    <col min="8" max="8" width="24.33203125" bestFit="1" customWidth="1"/>
    <col min="9" max="9" width="27.33203125" bestFit="1" customWidth="1"/>
    <col min="10" max="10" width="10.1640625" bestFit="1" customWidth="1"/>
    <col min="11" max="11" width="10.6640625" bestFit="1" customWidth="1"/>
    <col min="12" max="12" width="11.83203125" bestFit="1" customWidth="1"/>
    <col min="13" max="13" width="10.5" bestFit="1" customWidth="1"/>
    <col min="14" max="14" width="11" bestFit="1" customWidth="1"/>
    <col min="15" max="15" width="12.1640625" bestFit="1" customWidth="1"/>
    <col min="16" max="16" width="10.5" customWidth="1"/>
    <col min="17" max="17" width="6.83203125" customWidth="1"/>
  </cols>
  <sheetData>
    <row r="3" spans="1:18" ht="15">
      <c r="A3" s="435" t="s">
        <v>559</v>
      </c>
      <c r="B3" s="435" t="s">
        <v>560</v>
      </c>
      <c r="C3" s="435" t="s">
        <v>561</v>
      </c>
      <c r="D3" s="435" t="s">
        <v>562</v>
      </c>
      <c r="E3" s="435" t="s">
        <v>563</v>
      </c>
      <c r="F3" s="435" t="s">
        <v>564</v>
      </c>
      <c r="G3" s="435" t="s">
        <v>565</v>
      </c>
      <c r="H3" s="435" t="s">
        <v>566</v>
      </c>
      <c r="I3" s="435" t="s">
        <v>567</v>
      </c>
      <c r="J3" s="436" t="s">
        <v>568</v>
      </c>
      <c r="K3" s="436" t="s">
        <v>569</v>
      </c>
      <c r="L3" s="437" t="s">
        <v>570</v>
      </c>
      <c r="M3" s="436" t="s">
        <v>515</v>
      </c>
      <c r="N3" s="436" t="s">
        <v>516</v>
      </c>
      <c r="O3" s="437" t="s">
        <v>517</v>
      </c>
      <c r="P3" s="436" t="s">
        <v>519</v>
      </c>
      <c r="Q3" s="435"/>
      <c r="R3" s="426" t="s">
        <v>101</v>
      </c>
    </row>
    <row r="4" spans="1:18" ht="15">
      <c r="A4" s="430"/>
      <c r="B4" s="430"/>
      <c r="C4" s="430"/>
      <c r="D4" s="430"/>
      <c r="E4" s="430"/>
      <c r="F4" s="427">
        <v>7111</v>
      </c>
      <c r="G4" s="430"/>
      <c r="H4" s="430" t="s">
        <v>571</v>
      </c>
      <c r="I4" s="428" t="s">
        <v>480</v>
      </c>
      <c r="J4" s="438">
        <f>'DfE format report'!N9</f>
        <v>40541.339423076926</v>
      </c>
      <c r="K4" s="438">
        <f>'Month 3 rv'!G14</f>
        <v>39585.561116965226</v>
      </c>
      <c r="L4" s="438">
        <f>K4-J4</f>
        <v>-955.77830611170066</v>
      </c>
      <c r="M4" s="438">
        <f>'DfE format report'!E9</f>
        <v>120422.49807692308</v>
      </c>
      <c r="N4" s="438">
        <f>'DfE format report'!F9</f>
        <v>121395.72075869337</v>
      </c>
      <c r="O4" s="438">
        <f>N4-M4</f>
        <v>973.22268177029036</v>
      </c>
      <c r="P4" s="438">
        <f>'DfE format report'!H9</f>
        <v>481624.32692307699</v>
      </c>
      <c r="Q4" s="375"/>
    </row>
    <row r="5" spans="1:18" ht="15">
      <c r="A5" s="432"/>
      <c r="B5" s="432"/>
      <c r="C5" s="432"/>
      <c r="D5" s="432"/>
      <c r="E5" s="432"/>
      <c r="F5" s="431">
        <v>7134</v>
      </c>
      <c r="G5" s="432"/>
      <c r="H5" s="432" t="s">
        <v>571</v>
      </c>
      <c r="I5" s="432" t="s">
        <v>481</v>
      </c>
      <c r="J5" s="439">
        <f>'DfE format report'!N10</f>
        <v>3324.4230769230767</v>
      </c>
      <c r="K5" s="439">
        <f>'Month 3 rv'!G19</f>
        <v>3246.0484720758691</v>
      </c>
      <c r="L5" s="439">
        <f t="shared" ref="L5:L21" si="0">K5-J5</f>
        <v>-78.374604847207593</v>
      </c>
      <c r="M5" s="439">
        <f>'DfE format report'!E10</f>
        <v>9874.743589743588</v>
      </c>
      <c r="N5" s="439">
        <f>'DfE format report'!F10</f>
        <v>9954.5486476993319</v>
      </c>
      <c r="O5" s="439">
        <f t="shared" ref="O5:O21" si="1">N5-M5</f>
        <v>79.805057955743905</v>
      </c>
      <c r="P5" s="439">
        <f>'DfE format report'!H10</f>
        <v>39493.58974358975</v>
      </c>
      <c r="Q5" s="375"/>
    </row>
    <row r="6" spans="1:18" ht="15">
      <c r="A6" s="430"/>
      <c r="B6" s="430"/>
      <c r="C6" s="430"/>
      <c r="D6" s="430"/>
      <c r="E6" s="430"/>
      <c r="F6" s="427">
        <v>7133</v>
      </c>
      <c r="G6" s="430"/>
      <c r="H6" s="430" t="s">
        <v>571</v>
      </c>
      <c r="I6" s="428" t="s">
        <v>482</v>
      </c>
      <c r="J6" s="438">
        <f>'DfE format report'!N11</f>
        <v>1728.7</v>
      </c>
      <c r="K6" s="438">
        <f>'Month 3 rv'!G20</f>
        <v>1687.9452054794519</v>
      </c>
      <c r="L6" s="438">
        <f t="shared" si="0"/>
        <v>-40.754794520548103</v>
      </c>
      <c r="M6" s="438">
        <f>'DfE format report'!E11</f>
        <v>5134.8666666666659</v>
      </c>
      <c r="N6" s="438">
        <f>'DfE format report'!F11</f>
        <v>5176.3652968036531</v>
      </c>
      <c r="O6" s="438">
        <f t="shared" si="1"/>
        <v>41.498630136987231</v>
      </c>
      <c r="P6" s="438">
        <f>'DfE format report'!H11</f>
        <v>20536.666666666668</v>
      </c>
      <c r="Q6" s="375"/>
    </row>
    <row r="7" spans="1:18" ht="15">
      <c r="A7" s="432"/>
      <c r="B7" s="432"/>
      <c r="C7" s="432"/>
      <c r="D7" s="432"/>
      <c r="E7" s="432"/>
      <c r="F7" s="433">
        <v>7142</v>
      </c>
      <c r="G7" s="432"/>
      <c r="H7" s="432" t="s">
        <v>571</v>
      </c>
      <c r="I7" s="434" t="s">
        <v>483</v>
      </c>
      <c r="J7" s="439">
        <f>'DfE format report'!N12</f>
        <v>2376.9625000000001</v>
      </c>
      <c r="K7" s="439">
        <f>'Month 3 rv'!G21</f>
        <v>2320.9246575342463</v>
      </c>
      <c r="L7" s="439">
        <f t="shared" si="0"/>
        <v>-56.037842465753783</v>
      </c>
      <c r="M7" s="439">
        <f>'DfE format report'!E12</f>
        <v>7060.4416666666657</v>
      </c>
      <c r="N7" s="439">
        <f>'DfE format report'!F12</f>
        <v>7117.5022831050228</v>
      </c>
      <c r="O7" s="439">
        <f t="shared" si="1"/>
        <v>57.060616438357101</v>
      </c>
      <c r="P7" s="439">
        <f>'DfE format report'!H12</f>
        <v>28237.916666666664</v>
      </c>
      <c r="Q7" s="375"/>
    </row>
    <row r="8" spans="1:18" ht="15">
      <c r="A8" s="430"/>
      <c r="B8" s="430"/>
      <c r="C8" s="430"/>
      <c r="D8" s="430"/>
      <c r="E8" s="430"/>
      <c r="F8" s="427">
        <v>7141</v>
      </c>
      <c r="G8" s="430"/>
      <c r="H8" s="430" t="s">
        <v>571</v>
      </c>
      <c r="I8" s="428" t="s">
        <v>484</v>
      </c>
      <c r="J8" s="438">
        <f>'DfE format report'!N13</f>
        <v>3889.5749999999998</v>
      </c>
      <c r="K8" s="438">
        <f>'Month 3 rv'!G22</f>
        <v>3797.8767123287666</v>
      </c>
      <c r="L8" s="438">
        <f t="shared" si="0"/>
        <v>-91.698287671233174</v>
      </c>
      <c r="M8" s="438">
        <f>'DfE format report'!E13</f>
        <v>11553.449999999997</v>
      </c>
      <c r="N8" s="438">
        <f>'DfE format report'!F13</f>
        <v>11646.821917808218</v>
      </c>
      <c r="O8" s="438">
        <f t="shared" si="1"/>
        <v>93.371917808221042</v>
      </c>
      <c r="P8" s="438">
        <f>'DfE format report'!H13</f>
        <v>46207.5</v>
      </c>
      <c r="Q8" s="375"/>
    </row>
    <row r="9" spans="1:18" ht="15">
      <c r="A9" s="432"/>
      <c r="B9" s="432"/>
      <c r="C9" s="432"/>
      <c r="D9" s="432"/>
      <c r="E9" s="432"/>
      <c r="F9" s="433" t="s">
        <v>572</v>
      </c>
      <c r="G9" s="432"/>
      <c r="H9" s="432" t="s">
        <v>376</v>
      </c>
      <c r="I9" s="432" t="s">
        <v>497</v>
      </c>
      <c r="J9" s="439">
        <f>'DfE format report'!N16</f>
        <v>0</v>
      </c>
      <c r="K9" s="439">
        <f>'Month 3 rv'!G32</f>
        <v>0</v>
      </c>
      <c r="L9" s="439">
        <f t="shared" si="0"/>
        <v>0</v>
      </c>
      <c r="M9" s="439">
        <f>'DfE format report'!E16</f>
        <v>11500</v>
      </c>
      <c r="N9" s="439">
        <f>'DfE format report'!F16</f>
        <v>11250</v>
      </c>
      <c r="O9" s="439">
        <f t="shared" si="1"/>
        <v>-250</v>
      </c>
      <c r="P9" s="439">
        <f>'DfE format report'!H16</f>
        <v>45000</v>
      </c>
      <c r="Q9" s="375"/>
    </row>
    <row r="10" spans="1:18" ht="15">
      <c r="A10" s="430"/>
      <c r="B10" s="430"/>
      <c r="C10" s="430"/>
      <c r="D10" s="430"/>
      <c r="E10" s="430"/>
      <c r="F10" s="427" t="s">
        <v>572</v>
      </c>
      <c r="G10" s="430"/>
      <c r="H10" s="440" t="s">
        <v>376</v>
      </c>
      <c r="I10" s="430" t="s">
        <v>496</v>
      </c>
      <c r="J10" s="438">
        <f>'DfE format report'!N17</f>
        <v>6900</v>
      </c>
      <c r="K10" s="438">
        <f>'Month 3 rv'!G33</f>
        <v>7634.166666666667</v>
      </c>
      <c r="L10" s="438">
        <f t="shared" si="0"/>
        <v>734.16666666666697</v>
      </c>
      <c r="M10" s="438">
        <f>'DfE format report'!E17</f>
        <v>22809</v>
      </c>
      <c r="N10" s="438">
        <f>'DfE format report'!F17</f>
        <v>22902.5</v>
      </c>
      <c r="O10" s="438">
        <f t="shared" si="1"/>
        <v>93.5</v>
      </c>
      <c r="P10" s="438">
        <f>'DfE format report'!H17</f>
        <v>91610</v>
      </c>
      <c r="Q10" s="375"/>
    </row>
    <row r="11" spans="1:18" ht="15">
      <c r="A11" s="432"/>
      <c r="B11" s="432"/>
      <c r="C11" s="432"/>
      <c r="D11" s="432"/>
      <c r="E11" s="432"/>
      <c r="F11" s="433" t="s">
        <v>572</v>
      </c>
      <c r="G11" s="432"/>
      <c r="H11" s="432" t="s">
        <v>376</v>
      </c>
      <c r="I11" s="432" t="s">
        <v>495</v>
      </c>
      <c r="J11" s="439">
        <f>'DfE format report'!N18</f>
        <v>39740</v>
      </c>
      <c r="K11" s="439">
        <f>'Month 3 rv'!G34</f>
        <v>38000</v>
      </c>
      <c r="L11" s="439">
        <f t="shared" si="0"/>
        <v>-1740</v>
      </c>
      <c r="M11" s="439">
        <f>'DfE format report'!E18</f>
        <v>98701</v>
      </c>
      <c r="N11" s="439">
        <f>'DfE format report'!F18</f>
        <v>98800</v>
      </c>
      <c r="O11" s="439">
        <f t="shared" si="1"/>
        <v>99</v>
      </c>
      <c r="P11" s="439">
        <f>'DfE format report'!H18</f>
        <v>395200</v>
      </c>
      <c r="Q11" s="375"/>
    </row>
    <row r="12" spans="1:18" ht="15">
      <c r="A12" s="430"/>
      <c r="B12" s="430"/>
      <c r="C12" s="430"/>
      <c r="D12" s="430"/>
      <c r="E12" s="430"/>
      <c r="F12" s="427" t="s">
        <v>572</v>
      </c>
      <c r="G12" s="430"/>
      <c r="H12" s="440" t="s">
        <v>376</v>
      </c>
      <c r="I12" s="430" t="s">
        <v>492</v>
      </c>
      <c r="J12" s="438">
        <f>'DfE format report'!N19</f>
        <v>7757</v>
      </c>
      <c r="K12" s="438">
        <f>'Month 3 rv'!G35</f>
        <v>6000</v>
      </c>
      <c r="L12" s="438">
        <f t="shared" si="0"/>
        <v>-1757</v>
      </c>
      <c r="M12" s="438">
        <f>'DfE format report'!E19</f>
        <v>20391</v>
      </c>
      <c r="N12" s="438">
        <f>'DfE format report'!F19</f>
        <v>18000</v>
      </c>
      <c r="O12" s="438">
        <f t="shared" si="1"/>
        <v>-2391</v>
      </c>
      <c r="P12" s="438">
        <f>'DfE format report'!H19</f>
        <v>72000</v>
      </c>
      <c r="Q12" s="375"/>
    </row>
    <row r="13" spans="1:18" ht="15">
      <c r="A13" s="432"/>
      <c r="B13" s="432"/>
      <c r="C13" s="432"/>
      <c r="D13" s="432"/>
      <c r="E13" s="432"/>
      <c r="F13" s="433" t="s">
        <v>572</v>
      </c>
      <c r="G13" s="432"/>
      <c r="H13" s="432" t="s">
        <v>376</v>
      </c>
      <c r="I13" s="434" t="s">
        <v>489</v>
      </c>
      <c r="J13" s="439">
        <f>'DfE format report'!N20</f>
        <v>18033</v>
      </c>
      <c r="K13" s="439">
        <f>'Month 3 rv'!G36</f>
        <v>36000</v>
      </c>
      <c r="L13" s="439">
        <f t="shared" si="0"/>
        <v>17967</v>
      </c>
      <c r="M13" s="439">
        <f>'DfE format report'!E20</f>
        <v>37456</v>
      </c>
      <c r="N13" s="439">
        <f>'DfE format report'!F20</f>
        <v>42000</v>
      </c>
      <c r="O13" s="439">
        <f t="shared" si="1"/>
        <v>4544</v>
      </c>
      <c r="P13" s="439">
        <f>'DfE format report'!H20</f>
        <v>168000</v>
      </c>
      <c r="Q13" s="375"/>
    </row>
    <row r="14" spans="1:18" ht="15">
      <c r="A14" s="430"/>
      <c r="B14" s="430"/>
      <c r="C14" s="430"/>
      <c r="D14" s="430"/>
      <c r="E14" s="430"/>
      <c r="F14" s="427" t="s">
        <v>572</v>
      </c>
      <c r="G14" s="430"/>
      <c r="H14" s="440" t="s">
        <v>376</v>
      </c>
      <c r="I14" s="428" t="s">
        <v>493</v>
      </c>
      <c r="J14" s="438">
        <f>'DfE format report'!N21</f>
        <v>-4301</v>
      </c>
      <c r="K14" s="438">
        <f>'assumptions updated'!M21</f>
        <v>0</v>
      </c>
      <c r="L14" s="438">
        <f t="shared" si="0"/>
        <v>4301</v>
      </c>
      <c r="M14" s="438">
        <f>'DfE format report'!E21</f>
        <v>5180.5999999999985</v>
      </c>
      <c r="N14" s="438">
        <f>'DfE format report'!F21</f>
        <v>4333.3333333333358</v>
      </c>
      <c r="O14" s="438">
        <f t="shared" si="1"/>
        <v>-847.26666666666279</v>
      </c>
      <c r="P14" s="438">
        <f>'DfE format report'!H21</f>
        <v>65000</v>
      </c>
      <c r="Q14" s="375"/>
    </row>
    <row r="15" spans="1:18" ht="15">
      <c r="A15" s="432"/>
      <c r="B15" s="432"/>
      <c r="C15" s="432"/>
      <c r="D15" s="432"/>
      <c r="E15" s="432"/>
      <c r="F15" s="433" t="s">
        <v>572</v>
      </c>
      <c r="G15" s="432"/>
      <c r="H15" s="432" t="s">
        <v>376</v>
      </c>
      <c r="I15" s="434" t="s">
        <v>494</v>
      </c>
      <c r="J15" s="439">
        <f>'DfE format report'!N22</f>
        <v>4301</v>
      </c>
      <c r="K15" s="439">
        <f>'assumptions updated'!M20</f>
        <v>0</v>
      </c>
      <c r="L15" s="439">
        <f t="shared" si="0"/>
        <v>-4301</v>
      </c>
      <c r="M15" s="439">
        <f>'DfE format report'!E22</f>
        <v>12941</v>
      </c>
      <c r="N15" s="439">
        <f>'DfE format report'!F22</f>
        <v>13000</v>
      </c>
      <c r="O15" s="439">
        <f t="shared" si="1"/>
        <v>59</v>
      </c>
      <c r="P15" s="439">
        <f>'DfE format report'!H22</f>
        <v>39000</v>
      </c>
      <c r="Q15" s="375"/>
    </row>
    <row r="16" spans="1:18" ht="15">
      <c r="A16" s="430"/>
      <c r="B16" s="430"/>
      <c r="C16" s="430"/>
      <c r="D16" s="430"/>
      <c r="E16" s="430"/>
      <c r="F16" s="427" t="s">
        <v>572</v>
      </c>
      <c r="G16" s="430"/>
      <c r="H16" s="440" t="s">
        <v>376</v>
      </c>
      <c r="I16" s="430" t="s">
        <v>488</v>
      </c>
      <c r="J16" s="438">
        <f>'DfE format report'!N23</f>
        <v>7120</v>
      </c>
      <c r="K16" s="438">
        <f>'Month 3 rv'!G38</f>
        <v>15000</v>
      </c>
      <c r="L16" s="438">
        <f t="shared" si="0"/>
        <v>7880</v>
      </c>
      <c r="M16" s="438">
        <f>'DfE format report'!E23</f>
        <v>7120</v>
      </c>
      <c r="N16" s="438">
        <f>'DfE format report'!F23</f>
        <v>21000</v>
      </c>
      <c r="O16" s="438">
        <f t="shared" si="1"/>
        <v>13880</v>
      </c>
      <c r="P16" s="438">
        <f>'DfE format report'!H23</f>
        <v>100000</v>
      </c>
      <c r="Q16" s="375"/>
    </row>
    <row r="17" spans="1:17" ht="15">
      <c r="A17" s="432"/>
      <c r="B17" s="432"/>
      <c r="C17" s="432"/>
      <c r="D17" s="432"/>
      <c r="E17" s="432"/>
      <c r="F17" s="433" t="s">
        <v>572</v>
      </c>
      <c r="G17" s="432"/>
      <c r="H17" s="432" t="s">
        <v>376</v>
      </c>
      <c r="I17" s="434" t="s">
        <v>575</v>
      </c>
      <c r="J17" s="439">
        <f>'DfE format report'!N24</f>
        <v>20542.64</v>
      </c>
      <c r="K17" s="439">
        <f>'Month 3 rv'!G39</f>
        <v>4500</v>
      </c>
      <c r="L17" s="439">
        <f t="shared" si="0"/>
        <v>-16042.64</v>
      </c>
      <c r="M17" s="439">
        <f>'DfE format report'!E24</f>
        <v>35624.639999999999</v>
      </c>
      <c r="N17" s="439">
        <f>'DfE format report'!F24</f>
        <v>11700</v>
      </c>
      <c r="O17" s="439">
        <f t="shared" si="1"/>
        <v>-23924.639999999999</v>
      </c>
      <c r="P17" s="439">
        <f>'DfE format report'!H24</f>
        <v>46800</v>
      </c>
      <c r="Q17" s="375"/>
    </row>
    <row r="18" spans="1:17" ht="15">
      <c r="A18" s="430"/>
      <c r="B18" s="430"/>
      <c r="C18" s="430"/>
      <c r="D18" s="430"/>
      <c r="E18" s="430"/>
      <c r="F18" s="427" t="s">
        <v>572</v>
      </c>
      <c r="G18" s="430"/>
      <c r="H18" s="440" t="s">
        <v>376</v>
      </c>
      <c r="I18" s="428" t="s">
        <v>491</v>
      </c>
      <c r="J18" s="438">
        <f>'DfE format report'!N25</f>
        <v>10236</v>
      </c>
      <c r="K18" s="438">
        <f>'Month 3 rv'!G40</f>
        <v>0</v>
      </c>
      <c r="L18" s="438">
        <f t="shared" si="0"/>
        <v>-10236</v>
      </c>
      <c r="M18" s="438">
        <f>'DfE format report'!E25</f>
        <v>13675</v>
      </c>
      <c r="N18" s="438">
        <f>'DfE format report'!F25</f>
        <v>5000</v>
      </c>
      <c r="O18" s="438">
        <f t="shared" si="1"/>
        <v>-8675</v>
      </c>
      <c r="P18" s="438">
        <f>'DfE format report'!H25</f>
        <v>20000</v>
      </c>
      <c r="Q18" s="375"/>
    </row>
    <row r="19" spans="1:17" ht="15">
      <c r="A19" s="432"/>
      <c r="B19" s="432"/>
      <c r="C19" s="432"/>
      <c r="D19" s="432"/>
      <c r="E19" s="432"/>
      <c r="F19" s="433" t="s">
        <v>572</v>
      </c>
      <c r="G19" s="432"/>
      <c r="H19" s="432" t="s">
        <v>376</v>
      </c>
      <c r="I19" s="434" t="s">
        <v>485</v>
      </c>
      <c r="J19" s="439">
        <f>'DfE format report'!N26</f>
        <v>18191</v>
      </c>
      <c r="K19" s="439">
        <f>'Month 3 rv'!G41</f>
        <v>19333.333333333336</v>
      </c>
      <c r="L19" s="439">
        <f t="shared" si="0"/>
        <v>1142.3333333333358</v>
      </c>
      <c r="M19" s="439">
        <f>'DfE format report'!E26</f>
        <v>51068</v>
      </c>
      <c r="N19" s="439">
        <f>'DfE format report'!F26</f>
        <v>50800</v>
      </c>
      <c r="O19" s="439">
        <f t="shared" si="1"/>
        <v>-268</v>
      </c>
      <c r="P19" s="439">
        <f>'DfE format report'!H26</f>
        <v>203200</v>
      </c>
      <c r="Q19" s="375"/>
    </row>
    <row r="20" spans="1:17" ht="15">
      <c r="A20" s="430"/>
      <c r="B20" s="430"/>
      <c r="C20" s="430"/>
      <c r="D20" s="430"/>
      <c r="E20" s="430"/>
      <c r="F20" s="429" t="s">
        <v>573</v>
      </c>
      <c r="G20" s="430"/>
      <c r="H20" s="440" t="s">
        <v>9</v>
      </c>
      <c r="I20" s="430" t="s">
        <v>498</v>
      </c>
      <c r="J20" s="438">
        <f>'DfE format report'!N29</f>
        <v>8333.33</v>
      </c>
      <c r="K20" s="438">
        <f>'assumptions updated'!M47+'assumptions updated'!M48</f>
        <v>8333.3333333333339</v>
      </c>
      <c r="L20" s="438">
        <f t="shared" si="0"/>
        <v>3.3333333340124227E-3</v>
      </c>
      <c r="M20" s="438">
        <f>'DfE format report'!E29</f>
        <v>24999.989999999998</v>
      </c>
      <c r="N20" s="438">
        <f>'DfE format report'!F29</f>
        <v>24999.999000000003</v>
      </c>
      <c r="O20" s="438">
        <f t="shared" si="1"/>
        <v>9.0000000054715201E-3</v>
      </c>
      <c r="P20" s="438">
        <f>'DfE format report'!H29</f>
        <v>100000</v>
      </c>
      <c r="Q20" s="375"/>
    </row>
    <row r="21" spans="1:17" ht="15">
      <c r="A21" s="432"/>
      <c r="B21" s="432"/>
      <c r="C21" s="432"/>
      <c r="D21" s="432"/>
      <c r="E21" s="432"/>
      <c r="F21" s="431" t="s">
        <v>574</v>
      </c>
      <c r="G21" s="432"/>
      <c r="H21" s="432" t="s">
        <v>376</v>
      </c>
      <c r="I21" s="432" t="s">
        <v>501</v>
      </c>
      <c r="J21" s="439">
        <f>'DfE format report'!N32</f>
        <v>3000</v>
      </c>
      <c r="K21" s="439">
        <f>'assumptions updated'!M52</f>
        <v>3000</v>
      </c>
      <c r="L21" s="439">
        <f t="shared" si="0"/>
        <v>0</v>
      </c>
      <c r="M21" s="439">
        <f>'DfE format report'!E32</f>
        <v>9000</v>
      </c>
      <c r="N21" s="439">
        <f>'DfE format report'!F32</f>
        <v>9000</v>
      </c>
      <c r="O21" s="439">
        <f t="shared" si="1"/>
        <v>0</v>
      </c>
      <c r="P21" s="439">
        <f>'DfE format report'!H32</f>
        <v>36000</v>
      </c>
      <c r="Q21" s="375"/>
    </row>
    <row r="22" spans="1:17" ht="15">
      <c r="A22" s="375"/>
      <c r="B22" s="375"/>
      <c r="C22" s="375"/>
      <c r="D22" s="375"/>
      <c r="E22" s="375"/>
      <c r="F22" s="375"/>
      <c r="G22" s="375"/>
      <c r="H22" s="375"/>
      <c r="I22" s="375"/>
      <c r="J22" s="441">
        <f>SUM(J4:J21)</f>
        <v>191713.97</v>
      </c>
      <c r="K22" s="441">
        <f t="shared" ref="K22:P22" si="2">SUM(K4:K21)</f>
        <v>188439.1894977169</v>
      </c>
      <c r="L22" s="441">
        <f t="shared" si="2"/>
        <v>-3274.7805022831053</v>
      </c>
      <c r="M22" s="441">
        <f t="shared" si="2"/>
        <v>504512.23</v>
      </c>
      <c r="N22" s="441">
        <f t="shared" si="2"/>
        <v>488076.79123744287</v>
      </c>
      <c r="O22" s="441">
        <f t="shared" si="2"/>
        <v>-16435.438762557056</v>
      </c>
      <c r="P22" s="441">
        <f t="shared" si="2"/>
        <v>1997910</v>
      </c>
      <c r="Q22" s="375"/>
    </row>
  </sheetData>
  <conditionalFormatting sqref="F4 F6:F19">
    <cfRule type="expression" dxfId="0" priority="13" stopIfTrue="1">
      <formula>AND(COUNTIF($B$9:$B$11, F4)+COUNTIF($B$13:$B$15, F4)+COUNTIF($B$18:$B$19, F4)+COUNTIF(#REF!, F4)&gt;1,NOT(ISBLANK(F4)))</formula>
    </cfRule>
  </conditionalFormatting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 xr2:uid="{A6C9DA40-CD16-6B4D-BD8B-6FB7C2B2FD7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'EPA format'!O4</xm:f>
              <xm:sqref>Q4</xm:sqref>
            </x14:sparkline>
            <x14:sparkline>
              <xm:f>'EPA format'!O5:O5</xm:f>
              <xm:sqref>Q5</xm:sqref>
            </x14:sparkline>
            <x14:sparkline>
              <xm:f>'EPA format'!O6:O6</xm:f>
              <xm:sqref>Q6</xm:sqref>
            </x14:sparkline>
            <x14:sparkline>
              <xm:f>'EPA format'!O7:O7</xm:f>
              <xm:sqref>Q7</xm:sqref>
            </x14:sparkline>
            <x14:sparkline>
              <xm:f>'EPA format'!O8:O8</xm:f>
              <xm:sqref>Q8</xm:sqref>
            </x14:sparkline>
            <x14:sparkline>
              <xm:f>'EPA format'!O9:O9</xm:f>
              <xm:sqref>Q9</xm:sqref>
            </x14:sparkline>
            <x14:sparkline>
              <xm:f>'EPA format'!O10:O10</xm:f>
              <xm:sqref>Q10</xm:sqref>
            </x14:sparkline>
            <x14:sparkline>
              <xm:f>'EPA format'!O11:O11</xm:f>
              <xm:sqref>Q11</xm:sqref>
            </x14:sparkline>
            <x14:sparkline>
              <xm:f>'EPA format'!O12:O12</xm:f>
              <xm:sqref>Q12</xm:sqref>
            </x14:sparkline>
            <x14:sparkline>
              <xm:f>'EPA format'!O13:O13</xm:f>
              <xm:sqref>Q13</xm:sqref>
            </x14:sparkline>
            <x14:sparkline>
              <xm:f>'EPA format'!O14:O14</xm:f>
              <xm:sqref>Q14</xm:sqref>
            </x14:sparkline>
            <x14:sparkline>
              <xm:f>'EPA format'!O15:O15</xm:f>
              <xm:sqref>Q15</xm:sqref>
            </x14:sparkline>
            <x14:sparkline>
              <xm:f>'EPA format'!O16:O16</xm:f>
              <xm:sqref>Q16</xm:sqref>
            </x14:sparkline>
            <x14:sparkline>
              <xm:f>'EPA format'!O17:O17</xm:f>
              <xm:sqref>Q17</xm:sqref>
            </x14:sparkline>
            <x14:sparkline>
              <xm:f>'EPA format'!O18:O18</xm:f>
              <xm:sqref>Q18</xm:sqref>
            </x14:sparkline>
            <x14:sparkline>
              <xm:f>'EPA format'!O19:O19</xm:f>
              <xm:sqref>Q19</xm:sqref>
            </x14:sparkline>
            <x14:sparkline>
              <xm:f>'EPA format'!O20:O20</xm:f>
              <xm:sqref>Q20</xm:sqref>
            </x14:sparkline>
            <x14:sparkline>
              <xm:f>'EPA format'!O21:O21</xm:f>
              <xm:sqref>Q21</xm:sqref>
            </x14:sparkline>
            <x14:sparkline>
              <xm:f>'EPA format'!O22:O22</xm:f>
              <xm:sqref>Q22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#9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45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F17D-B7A4-2B47-AAE5-92DFABE40C7C}">
  <dimension ref="A2:T46"/>
  <sheetViews>
    <sheetView workbookViewId="0">
      <selection activeCell="J28" sqref="J28"/>
    </sheetView>
  </sheetViews>
  <sheetFormatPr baseColWidth="10" defaultRowHeight="13"/>
  <cols>
    <col min="1" max="1" width="2.5" customWidth="1"/>
    <col min="2" max="2" width="3.6640625" customWidth="1"/>
    <col min="3" max="3" width="6.6640625" customWidth="1"/>
    <col min="4" max="4" width="37" customWidth="1"/>
    <col min="5" max="5" width="2.83203125" customWidth="1"/>
    <col min="6" max="8" width="15.83203125" customWidth="1"/>
    <col min="9" max="9" width="2.83203125" customWidth="1"/>
    <col min="10" max="12" width="15.83203125" customWidth="1"/>
    <col min="13" max="13" width="2.83203125" customWidth="1"/>
    <col min="14" max="14" width="4.83203125" hidden="1" customWidth="1"/>
    <col min="15" max="15" width="10.83203125" hidden="1" customWidth="1"/>
    <col min="16" max="18" width="12.83203125" customWidth="1"/>
  </cols>
  <sheetData>
    <row r="2" spans="1:20">
      <c r="B2" t="s">
        <v>576</v>
      </c>
      <c r="D2" s="289">
        <v>2025</v>
      </c>
      <c r="E2" t="s">
        <v>242</v>
      </c>
      <c r="G2" t="s">
        <v>577</v>
      </c>
    </row>
    <row r="3" spans="1:20">
      <c r="B3" t="s">
        <v>77</v>
      </c>
      <c r="D3" t="s">
        <v>578</v>
      </c>
      <c r="E3" s="443"/>
      <c r="F3" s="443"/>
      <c r="G3" s="443"/>
      <c r="H3" s="443"/>
      <c r="I3" s="443"/>
    </row>
    <row r="4" spans="1:20">
      <c r="B4" t="s">
        <v>579</v>
      </c>
      <c r="D4" t="s">
        <v>580</v>
      </c>
    </row>
    <row r="5" spans="1:20" ht="14" thickBot="1">
      <c r="A5" s="444"/>
      <c r="B5" s="445"/>
      <c r="C5" s="445"/>
      <c r="D5" s="445"/>
      <c r="E5" s="445"/>
      <c r="F5" s="716" t="s">
        <v>287</v>
      </c>
      <c r="G5" s="716"/>
      <c r="H5" s="716"/>
      <c r="I5" s="446"/>
      <c r="J5" s="717" t="s">
        <v>290</v>
      </c>
      <c r="K5" s="717"/>
      <c r="L5" s="717"/>
      <c r="M5" s="447"/>
      <c r="N5" s="448"/>
      <c r="O5" s="449"/>
      <c r="P5" s="450"/>
      <c r="Q5" s="450" t="s">
        <v>581</v>
      </c>
      <c r="R5" s="450"/>
      <c r="S5" s="451"/>
      <c r="T5" s="452"/>
    </row>
    <row r="6" spans="1:20" ht="15" customHeight="1" thickTop="1">
      <c r="B6" s="453"/>
      <c r="C6" s="453"/>
      <c r="E6" s="453"/>
      <c r="F6" s="454" t="s">
        <v>582</v>
      </c>
      <c r="G6" s="454" t="s">
        <v>583</v>
      </c>
      <c r="H6" s="454" t="s">
        <v>584</v>
      </c>
      <c r="I6" s="455"/>
      <c r="J6" s="454" t="s">
        <v>585</v>
      </c>
      <c r="K6" s="454" t="s">
        <v>586</v>
      </c>
      <c r="L6" s="454" t="s">
        <v>587</v>
      </c>
      <c r="M6" s="456"/>
      <c r="N6" s="457" t="s">
        <v>588</v>
      </c>
      <c r="O6" s="458"/>
      <c r="P6" s="454" t="s">
        <v>589</v>
      </c>
      <c r="Q6" s="454" t="s">
        <v>590</v>
      </c>
      <c r="R6" s="454" t="s">
        <v>321</v>
      </c>
      <c r="S6" s="451"/>
      <c r="T6" s="459" t="s">
        <v>588</v>
      </c>
    </row>
    <row r="7" spans="1:20" ht="15" customHeight="1">
      <c r="A7" s="460"/>
      <c r="B7" s="461" t="s">
        <v>591</v>
      </c>
      <c r="C7" s="462"/>
      <c r="D7" s="462"/>
      <c r="E7" s="462"/>
      <c r="F7" s="463">
        <f>F8</f>
        <v>180904.06886570377</v>
      </c>
      <c r="G7" s="463">
        <f t="shared" ref="G7:H7" si="0">G8</f>
        <v>147940.33333333331</v>
      </c>
      <c r="H7" s="464">
        <f t="shared" si="0"/>
        <v>-6777.66368995831</v>
      </c>
      <c r="I7" s="465"/>
      <c r="J7" s="463">
        <f>J8</f>
        <v>361488.00893012498</v>
      </c>
      <c r="K7" s="463">
        <f t="shared" ref="K7:L7" si="1">K8</f>
        <v>373899</v>
      </c>
      <c r="L7" s="464">
        <f t="shared" si="1"/>
        <v>-12410.991069875017</v>
      </c>
      <c r="M7" s="466"/>
      <c r="N7" s="467"/>
      <c r="O7" s="468"/>
      <c r="P7" s="463">
        <f>P8</f>
        <v>1537163.0267903749</v>
      </c>
      <c r="Q7" s="463">
        <f t="shared" ref="Q7:R7" si="2">Q8</f>
        <v>1498952.0357204999</v>
      </c>
      <c r="R7" s="464">
        <f t="shared" si="2"/>
        <v>-38210.991069874959</v>
      </c>
      <c r="S7" s="451"/>
      <c r="T7" s="469"/>
    </row>
    <row r="8" spans="1:20" ht="15" customHeight="1">
      <c r="A8" s="470"/>
      <c r="B8" s="471" t="s">
        <v>203</v>
      </c>
      <c r="C8" s="472"/>
      <c r="D8" s="472"/>
      <c r="E8" s="472"/>
      <c r="F8" s="473">
        <f>+F17+F9</f>
        <v>180904.06886570377</v>
      </c>
      <c r="G8" s="473">
        <f t="shared" ref="G8:H8" si="3">+G17</f>
        <v>147940.33333333331</v>
      </c>
      <c r="H8" s="474">
        <f t="shared" si="3"/>
        <v>-6777.66368995831</v>
      </c>
      <c r="I8" s="475"/>
      <c r="J8" s="473">
        <f>+J17</f>
        <v>361488.00893012498</v>
      </c>
      <c r="K8" s="473">
        <f t="shared" ref="K8:L8" si="4">+K17</f>
        <v>373899</v>
      </c>
      <c r="L8" s="474">
        <f t="shared" si="4"/>
        <v>-12410.991069875017</v>
      </c>
      <c r="M8" s="476"/>
      <c r="N8" s="477"/>
      <c r="O8" s="478"/>
      <c r="P8" s="473">
        <f t="shared" ref="P8:R8" si="5">+P17</f>
        <v>1537163.0267903749</v>
      </c>
      <c r="Q8" s="473">
        <f>+Q17</f>
        <v>1498952.0357204999</v>
      </c>
      <c r="R8" s="474">
        <f t="shared" si="5"/>
        <v>-38210.991069874959</v>
      </c>
      <c r="S8" s="451"/>
      <c r="T8" s="469"/>
    </row>
    <row r="9" spans="1:20" ht="15" customHeight="1">
      <c r="A9" s="470"/>
      <c r="B9" s="479" t="s">
        <v>87</v>
      </c>
      <c r="C9" s="480"/>
      <c r="D9" s="481"/>
      <c r="E9" s="481"/>
      <c r="F9" s="482">
        <f>SUM(F10:F16)</f>
        <v>39741.399222328771</v>
      </c>
      <c r="G9" s="482">
        <f>SUM(G10:G16)</f>
        <v>39992.271146153849</v>
      </c>
      <c r="H9" s="483">
        <f>F9-G9</f>
        <v>-250.87192382507783</v>
      </c>
      <c r="I9" s="484"/>
      <c r="J9" s="482">
        <f>SUM(J10:J16)</f>
        <v>121873.62428180821</v>
      </c>
      <c r="K9" s="482">
        <f>SUM(K10:K16)</f>
        <v>122588.9</v>
      </c>
      <c r="L9" s="483">
        <f>J9-K9</f>
        <v>-715.27571819178411</v>
      </c>
      <c r="M9" s="485"/>
      <c r="N9" s="486"/>
      <c r="O9" s="487"/>
      <c r="P9" s="482">
        <f>SUM(P10:P16)</f>
        <v>484235.63292319176</v>
      </c>
      <c r="Q9" s="482">
        <f>SUM(Q10:Q16)</f>
        <v>483520.35720499995</v>
      </c>
      <c r="R9" s="483">
        <f t="shared" ref="R9:R16" si="6">Q9-P9</f>
        <v>-715.27571819181321</v>
      </c>
      <c r="S9" s="488"/>
      <c r="T9" s="489"/>
    </row>
    <row r="10" spans="1:20" ht="15" customHeight="1">
      <c r="A10" s="470"/>
      <c r="B10" s="490"/>
      <c r="C10" s="624"/>
      <c r="D10" s="625" t="s">
        <v>592</v>
      </c>
      <c r="E10" s="626"/>
      <c r="F10" s="627">
        <v>29500.773146931882</v>
      </c>
      <c r="G10" s="627">
        <v>29687</v>
      </c>
      <c r="H10" s="628">
        <f t="shared" ref="H10:H16" si="7">F10-G10</f>
        <v>-186.22685306811763</v>
      </c>
      <c r="I10" s="629"/>
      <c r="J10" s="627">
        <v>90469.037650591097</v>
      </c>
      <c r="K10" s="627">
        <v>91000</v>
      </c>
      <c r="L10" s="628">
        <f t="shared" ref="L10:L16" si="8">J10-K10</f>
        <v>-530.96234940890281</v>
      </c>
      <c r="M10" s="630"/>
      <c r="N10" s="631"/>
      <c r="O10" s="632"/>
      <c r="P10" s="627">
        <v>359457.03563708009</v>
      </c>
      <c r="Q10" s="627">
        <v>358926.0732876712</v>
      </c>
      <c r="R10" s="628">
        <f t="shared" si="6"/>
        <v>-530.96234940888826</v>
      </c>
      <c r="S10" s="488"/>
      <c r="T10" s="489"/>
    </row>
    <row r="11" spans="1:20" ht="15" customHeight="1">
      <c r="A11" s="470"/>
      <c r="B11" s="490"/>
      <c r="C11" s="633"/>
      <c r="D11" s="634" t="s">
        <v>593</v>
      </c>
      <c r="E11" s="635"/>
      <c r="F11" s="636">
        <v>1815.4321936573467</v>
      </c>
      <c r="G11" s="636">
        <f>G10/325*20</f>
        <v>1826.8923076923077</v>
      </c>
      <c r="H11" s="637">
        <f t="shared" si="7"/>
        <v>-11.460114034960952</v>
      </c>
      <c r="I11" s="638"/>
      <c r="J11" s="636">
        <v>5567.3253938825292</v>
      </c>
      <c r="K11" s="636">
        <v>5600</v>
      </c>
      <c r="L11" s="637">
        <f t="shared" si="8"/>
        <v>-32.67460611747083</v>
      </c>
      <c r="M11" s="639"/>
      <c r="N11" s="640"/>
      <c r="O11" s="641"/>
      <c r="P11" s="636">
        <v>22120.432962281855</v>
      </c>
      <c r="Q11" s="636">
        <v>22087.758356164381</v>
      </c>
      <c r="R11" s="637">
        <f t="shared" si="6"/>
        <v>-32.674606117474468</v>
      </c>
      <c r="S11" s="488"/>
      <c r="T11" s="489"/>
    </row>
    <row r="12" spans="1:20" ht="15" customHeight="1">
      <c r="A12" s="470"/>
      <c r="B12" s="490"/>
      <c r="C12" s="633"/>
      <c r="D12" s="642" t="s">
        <v>594</v>
      </c>
      <c r="E12" s="643"/>
      <c r="F12" s="636">
        <v>1815.4321936573467</v>
      </c>
      <c r="G12" s="636">
        <f>G10/325*20</f>
        <v>1826.8923076923077</v>
      </c>
      <c r="H12" s="637">
        <f t="shared" si="7"/>
        <v>-11.460114034960952</v>
      </c>
      <c r="I12" s="644"/>
      <c r="J12" s="636">
        <v>5567.3253938825292</v>
      </c>
      <c r="K12" s="636">
        <v>5600</v>
      </c>
      <c r="L12" s="637">
        <f t="shared" si="8"/>
        <v>-32.67460611747083</v>
      </c>
      <c r="M12" s="639"/>
      <c r="N12" s="640"/>
      <c r="O12" s="641"/>
      <c r="P12" s="636">
        <v>22120.432962281855</v>
      </c>
      <c r="Q12" s="636">
        <v>22087.758356164381</v>
      </c>
      <c r="R12" s="637">
        <f t="shared" si="6"/>
        <v>-32.674606117474468</v>
      </c>
      <c r="S12" s="488"/>
      <c r="T12" s="489"/>
    </row>
    <row r="13" spans="1:20" ht="15" customHeight="1">
      <c r="A13" s="470"/>
      <c r="B13" s="490"/>
      <c r="C13" s="633"/>
      <c r="D13" s="642" t="s">
        <v>595</v>
      </c>
      <c r="E13" s="643"/>
      <c r="F13" s="636">
        <v>993.94912602739726</v>
      </c>
      <c r="G13" s="636">
        <v>1000.2235384615385</v>
      </c>
      <c r="H13" s="637">
        <f t="shared" si="7"/>
        <v>-6.2744124341412544</v>
      </c>
      <c r="I13" s="644"/>
      <c r="J13" s="636">
        <v>3048.1106531506844</v>
      </c>
      <c r="K13" s="636">
        <v>3066</v>
      </c>
      <c r="L13" s="637">
        <f t="shared" si="8"/>
        <v>-17.889346849315643</v>
      </c>
      <c r="M13" s="639"/>
      <c r="N13" s="640"/>
      <c r="O13" s="641"/>
      <c r="P13" s="636">
        <v>12110.937046849314</v>
      </c>
      <c r="Q13" s="636">
        <v>12093.047699999999</v>
      </c>
      <c r="R13" s="645">
        <f t="shared" si="6"/>
        <v>-17.889346849315189</v>
      </c>
      <c r="S13" s="488"/>
      <c r="T13" s="489"/>
    </row>
    <row r="14" spans="1:20" ht="15" customHeight="1">
      <c r="A14" s="470"/>
      <c r="B14" s="490"/>
      <c r="C14" s="633"/>
      <c r="D14" s="642" t="s">
        <v>596</v>
      </c>
      <c r="E14" s="643"/>
      <c r="F14" s="636">
        <v>1640.0160579452056</v>
      </c>
      <c r="G14" s="636">
        <v>1650.3688384615386</v>
      </c>
      <c r="H14" s="637">
        <f>F14-G14</f>
        <v>-10.352780516333041</v>
      </c>
      <c r="I14" s="644"/>
      <c r="J14" s="636">
        <v>5029.3825776986296</v>
      </c>
      <c r="K14" s="636">
        <v>5058.9000000000005</v>
      </c>
      <c r="L14" s="637">
        <f>J14-K14</f>
        <v>-29.517422301370971</v>
      </c>
      <c r="M14" s="639"/>
      <c r="N14" s="640"/>
      <c r="O14" s="641"/>
      <c r="P14" s="636">
        <v>19983.046127301368</v>
      </c>
      <c r="Q14" s="636">
        <v>19953.528705000001</v>
      </c>
      <c r="R14" s="645">
        <f t="shared" si="6"/>
        <v>-29.517422301367333</v>
      </c>
      <c r="S14" s="488"/>
      <c r="T14" s="489"/>
    </row>
    <row r="15" spans="1:20" ht="15" customHeight="1">
      <c r="A15" s="470"/>
      <c r="B15" s="490"/>
      <c r="C15" s="633"/>
      <c r="D15" s="642" t="s">
        <v>597</v>
      </c>
      <c r="E15" s="643"/>
      <c r="F15" s="636">
        <v>3644.4801287671235</v>
      </c>
      <c r="G15" s="636">
        <v>3667.4863076923079</v>
      </c>
      <c r="H15" s="637">
        <f t="shared" si="7"/>
        <v>-23.006178925184486</v>
      </c>
      <c r="I15" s="644"/>
      <c r="J15" s="636">
        <v>11176.405728219177</v>
      </c>
      <c r="K15" s="636">
        <v>11242</v>
      </c>
      <c r="L15" s="637">
        <f t="shared" si="8"/>
        <v>-65.594271780822965</v>
      </c>
      <c r="M15" s="639"/>
      <c r="N15" s="640"/>
      <c r="O15" s="641"/>
      <c r="P15" s="636">
        <v>44406.769171780819</v>
      </c>
      <c r="Q15" s="636">
        <v>44341.174899999998</v>
      </c>
      <c r="R15" s="645">
        <f t="shared" si="6"/>
        <v>-65.594271780821146</v>
      </c>
      <c r="S15" s="488"/>
      <c r="T15" s="489"/>
    </row>
    <row r="16" spans="1:20" ht="15" customHeight="1">
      <c r="A16" s="470"/>
      <c r="B16" s="490"/>
      <c r="C16" s="633"/>
      <c r="D16" s="642" t="s">
        <v>598</v>
      </c>
      <c r="E16" s="643"/>
      <c r="F16" s="636">
        <v>331.31637534246579</v>
      </c>
      <c r="G16" s="636">
        <v>333.40784615384621</v>
      </c>
      <c r="H16" s="637">
        <f t="shared" si="7"/>
        <v>-2.0914708113804181</v>
      </c>
      <c r="I16" s="644"/>
      <c r="J16" s="636">
        <v>1016.0368843835615</v>
      </c>
      <c r="K16" s="636">
        <v>1022</v>
      </c>
      <c r="L16" s="637">
        <f t="shared" si="8"/>
        <v>-5.963115616438472</v>
      </c>
      <c r="M16" s="639"/>
      <c r="N16" s="640"/>
      <c r="O16" s="641"/>
      <c r="P16" s="636">
        <v>4036.9790156164381</v>
      </c>
      <c r="Q16" s="636">
        <v>4031.0158999999999</v>
      </c>
      <c r="R16" s="645">
        <f t="shared" si="6"/>
        <v>-5.9631156164382446</v>
      </c>
      <c r="S16" s="488"/>
      <c r="T16" s="489"/>
    </row>
    <row r="17" spans="1:20" ht="15" customHeight="1">
      <c r="A17" s="470"/>
      <c r="B17" s="479" t="s">
        <v>599</v>
      </c>
      <c r="C17" s="646"/>
      <c r="D17" s="646"/>
      <c r="E17" s="647"/>
      <c r="F17" s="648">
        <f>SUM(F18:F32)</f>
        <v>141162.669643375</v>
      </c>
      <c r="G17" s="648">
        <f>SUM(G18:G32)</f>
        <v>147940.33333333331</v>
      </c>
      <c r="H17" s="649">
        <f>F17-G17</f>
        <v>-6777.66368995831</v>
      </c>
      <c r="I17" s="650"/>
      <c r="J17" s="648">
        <f>SUM(J18:J31)</f>
        <v>361488.00893012498</v>
      </c>
      <c r="K17" s="648">
        <f>SUM(K18:K31)</f>
        <v>373899</v>
      </c>
      <c r="L17" s="649">
        <f>J17-K17</f>
        <v>-12410.991069875017</v>
      </c>
      <c r="M17" s="650"/>
      <c r="N17" s="651"/>
      <c r="O17" s="652"/>
      <c r="P17" s="648">
        <f>SUM(P18:P31)</f>
        <v>1537163.0267903749</v>
      </c>
      <c r="Q17" s="648">
        <f>SUM(Q18:Q31)</f>
        <v>1498952.0357204999</v>
      </c>
      <c r="R17" s="653">
        <f>-P17+Q17</f>
        <v>-38210.991069874959</v>
      </c>
      <c r="S17" s="491"/>
      <c r="T17" s="489"/>
    </row>
    <row r="18" spans="1:20" ht="15" customHeight="1">
      <c r="A18" s="470"/>
      <c r="B18" s="480"/>
      <c r="C18" s="642"/>
      <c r="D18" s="634" t="s">
        <v>600</v>
      </c>
      <c r="E18" s="635"/>
      <c r="F18" s="654">
        <v>0</v>
      </c>
      <c r="G18" s="654">
        <v>15000</v>
      </c>
      <c r="H18" s="637">
        <f>F18-G18</f>
        <v>-15000</v>
      </c>
      <c r="I18" s="638"/>
      <c r="J18" s="636">
        <v>16000</v>
      </c>
      <c r="K18" s="636">
        <v>31000</v>
      </c>
      <c r="L18" s="637">
        <f>J18-K18</f>
        <v>-15000</v>
      </c>
      <c r="M18" s="639"/>
      <c r="N18" s="640"/>
      <c r="O18" s="655"/>
      <c r="P18" s="636">
        <v>164000</v>
      </c>
      <c r="Q18" s="636">
        <v>104000</v>
      </c>
      <c r="R18" s="656">
        <f t="shared" ref="R18:R32" si="9">Q18-P18</f>
        <v>-60000</v>
      </c>
      <c r="S18" s="488"/>
      <c r="T18" s="489"/>
    </row>
    <row r="19" spans="1:20" ht="15" customHeight="1">
      <c r="A19" s="470"/>
      <c r="B19" s="480"/>
      <c r="C19" s="642"/>
      <c r="D19" s="634" t="s">
        <v>601</v>
      </c>
      <c r="E19" s="635"/>
      <c r="F19" s="654">
        <v>4029.3363100416668</v>
      </c>
      <c r="G19" s="654">
        <v>3468</v>
      </c>
      <c r="H19" s="637">
        <f t="shared" ref="H19:H32" si="10">F19-G19</f>
        <v>561.33631004166682</v>
      </c>
      <c r="I19" s="638"/>
      <c r="J19" s="636">
        <v>12088.008930125001</v>
      </c>
      <c r="K19" s="636">
        <v>9876</v>
      </c>
      <c r="L19" s="637">
        <f t="shared" ref="L19:L32" si="11">J19-K19</f>
        <v>2212.0089301250009</v>
      </c>
      <c r="M19" s="639"/>
      <c r="N19" s="640"/>
      <c r="O19" s="655"/>
      <c r="P19" s="636">
        <v>46140.026790375006</v>
      </c>
      <c r="Q19" s="636">
        <v>48352.035720500004</v>
      </c>
      <c r="R19" s="656">
        <f t="shared" si="9"/>
        <v>2212.0089301249973</v>
      </c>
      <c r="S19" s="488"/>
      <c r="T19" s="489"/>
    </row>
    <row r="20" spans="1:20" ht="15" customHeight="1">
      <c r="A20" s="470"/>
      <c r="B20" s="480"/>
      <c r="C20" s="642"/>
      <c r="D20" s="634" t="s">
        <v>602</v>
      </c>
      <c r="E20" s="635"/>
      <c r="F20" s="654">
        <v>0</v>
      </c>
      <c r="G20" s="654">
        <v>6800</v>
      </c>
      <c r="H20" s="637">
        <f t="shared" si="10"/>
        <v>-6800</v>
      </c>
      <c r="I20" s="638"/>
      <c r="J20" s="636">
        <v>6000</v>
      </c>
      <c r="K20" s="636">
        <v>13700</v>
      </c>
      <c r="L20" s="637">
        <f t="shared" si="11"/>
        <v>-7700</v>
      </c>
      <c r="M20" s="639"/>
      <c r="N20" s="640"/>
      <c r="O20" s="655"/>
      <c r="P20" s="636">
        <v>46700</v>
      </c>
      <c r="Q20" s="636">
        <v>39000</v>
      </c>
      <c r="R20" s="656">
        <f t="shared" si="9"/>
        <v>-7700</v>
      </c>
      <c r="S20" s="488"/>
      <c r="T20" s="489"/>
    </row>
    <row r="21" spans="1:20" ht="14">
      <c r="A21" s="470"/>
      <c r="B21" s="480"/>
      <c r="C21" s="642"/>
      <c r="D21" s="657" t="s">
        <v>603</v>
      </c>
      <c r="E21" s="658"/>
      <c r="F21" s="654">
        <v>1333.3333333333333</v>
      </c>
      <c r="G21" s="654">
        <f>2650/3</f>
        <v>883.33333333333337</v>
      </c>
      <c r="H21" s="637">
        <f t="shared" si="10"/>
        <v>449.99999999999989</v>
      </c>
      <c r="I21" s="659"/>
      <c r="J21" s="636">
        <v>4000</v>
      </c>
      <c r="K21" s="636">
        <v>2653</v>
      </c>
      <c r="L21" s="637">
        <f t="shared" si="11"/>
        <v>1347</v>
      </c>
      <c r="M21" s="639"/>
      <c r="N21" s="640"/>
      <c r="O21" s="655"/>
      <c r="P21" s="636">
        <v>14653</v>
      </c>
      <c r="Q21" s="636">
        <v>16000</v>
      </c>
      <c r="R21" s="660">
        <f t="shared" si="9"/>
        <v>1347</v>
      </c>
      <c r="S21" s="488"/>
      <c r="T21" s="489"/>
    </row>
    <row r="22" spans="1:20" ht="15" customHeight="1">
      <c r="A22" s="470"/>
      <c r="B22" s="480"/>
      <c r="C22" s="642"/>
      <c r="D22" s="634" t="s">
        <v>604</v>
      </c>
      <c r="E22" s="635"/>
      <c r="F22" s="661">
        <v>34666.666666666664</v>
      </c>
      <c r="G22" s="661">
        <f>110500/3</f>
        <v>36833.333333333336</v>
      </c>
      <c r="H22" s="637">
        <f t="shared" si="10"/>
        <v>-2166.6666666666715</v>
      </c>
      <c r="I22" s="638"/>
      <c r="J22" s="662">
        <v>104000</v>
      </c>
      <c r="K22" s="662">
        <v>110502</v>
      </c>
      <c r="L22" s="637">
        <f t="shared" si="11"/>
        <v>-6502</v>
      </c>
      <c r="M22" s="663"/>
      <c r="N22" s="664"/>
      <c r="O22" s="665"/>
      <c r="P22" s="636">
        <v>422502</v>
      </c>
      <c r="Q22" s="662">
        <v>416000</v>
      </c>
      <c r="R22" s="666">
        <f t="shared" si="9"/>
        <v>-6502</v>
      </c>
      <c r="S22" s="488"/>
      <c r="T22" s="489"/>
    </row>
    <row r="23" spans="1:20" ht="15" customHeight="1">
      <c r="A23" s="470"/>
      <c r="B23" s="480"/>
      <c r="C23" s="642"/>
      <c r="D23" s="634" t="s">
        <v>605</v>
      </c>
      <c r="E23" s="635"/>
      <c r="F23" s="654">
        <v>2000</v>
      </c>
      <c r="G23" s="654">
        <f>8700/3</f>
        <v>2900</v>
      </c>
      <c r="H23" s="637">
        <f t="shared" si="10"/>
        <v>-900</v>
      </c>
      <c r="I23" s="638"/>
      <c r="J23" s="636">
        <v>6000</v>
      </c>
      <c r="K23" s="636">
        <v>8730</v>
      </c>
      <c r="L23" s="637">
        <f t="shared" si="11"/>
        <v>-2730</v>
      </c>
      <c r="M23" s="639"/>
      <c r="N23" s="640"/>
      <c r="O23" s="655"/>
      <c r="P23" s="636">
        <v>26730</v>
      </c>
      <c r="Q23" s="636">
        <v>24000</v>
      </c>
      <c r="R23" s="660">
        <f t="shared" si="9"/>
        <v>-2730</v>
      </c>
      <c r="S23" s="488"/>
      <c r="T23" s="489"/>
    </row>
    <row r="24" spans="1:20" ht="15" customHeight="1">
      <c r="A24" s="470"/>
      <c r="B24" s="480"/>
      <c r="C24" s="642"/>
      <c r="D24" s="634" t="s">
        <v>606</v>
      </c>
      <c r="E24" s="635"/>
      <c r="F24" s="654">
        <v>25800</v>
      </c>
      <c r="G24" s="654">
        <f>33100/3</f>
        <v>11033.333333333334</v>
      </c>
      <c r="H24" s="637">
        <f t="shared" si="10"/>
        <v>14766.666666666666</v>
      </c>
      <c r="I24" s="638"/>
      <c r="J24" s="636">
        <v>31400</v>
      </c>
      <c r="K24" s="636">
        <v>33123</v>
      </c>
      <c r="L24" s="637">
        <f t="shared" si="11"/>
        <v>-1723</v>
      </c>
      <c r="M24" s="639"/>
      <c r="N24" s="640"/>
      <c r="O24" s="655"/>
      <c r="P24" s="636">
        <v>127323</v>
      </c>
      <c r="Q24" s="636">
        <v>125600</v>
      </c>
      <c r="R24" s="656">
        <f t="shared" si="9"/>
        <v>-1723</v>
      </c>
      <c r="S24" s="488"/>
      <c r="T24" s="489"/>
    </row>
    <row r="25" spans="1:20" ht="15" customHeight="1">
      <c r="A25" s="470"/>
      <c r="B25" s="480"/>
      <c r="C25" s="642"/>
      <c r="D25" s="634" t="s">
        <v>607</v>
      </c>
      <c r="E25" s="635"/>
      <c r="F25" s="654">
        <v>18400</v>
      </c>
      <c r="G25" s="654">
        <f>43645/3</f>
        <v>14548.333333333334</v>
      </c>
      <c r="H25" s="637">
        <f t="shared" si="10"/>
        <v>3851.6666666666661</v>
      </c>
      <c r="I25" s="638"/>
      <c r="J25" s="636">
        <v>59800</v>
      </c>
      <c r="K25" s="636">
        <v>43679</v>
      </c>
      <c r="L25" s="637">
        <f t="shared" si="11"/>
        <v>16121</v>
      </c>
      <c r="M25" s="639"/>
      <c r="N25" s="640"/>
      <c r="O25" s="655"/>
      <c r="P25" s="636">
        <v>174779</v>
      </c>
      <c r="Q25" s="636">
        <v>239200</v>
      </c>
      <c r="R25" s="656">
        <f t="shared" si="9"/>
        <v>64421</v>
      </c>
      <c r="S25" s="488"/>
      <c r="T25" s="489"/>
    </row>
    <row r="26" spans="1:20" ht="15" customHeight="1">
      <c r="A26" s="470"/>
      <c r="B26" s="480"/>
      <c r="C26" s="642"/>
      <c r="D26" s="634" t="s">
        <v>608</v>
      </c>
      <c r="E26" s="635"/>
      <c r="F26" s="654">
        <v>16000</v>
      </c>
      <c r="G26" s="654">
        <v>1480</v>
      </c>
      <c r="H26" s="637">
        <f t="shared" si="10"/>
        <v>14520</v>
      </c>
      <c r="I26" s="638"/>
      <c r="J26" s="636">
        <v>16000</v>
      </c>
      <c r="K26" s="636">
        <f>13400-11920</f>
        <v>1480</v>
      </c>
      <c r="L26" s="637">
        <f t="shared" si="11"/>
        <v>14520</v>
      </c>
      <c r="M26" s="639"/>
      <c r="N26" s="640"/>
      <c r="O26" s="655"/>
      <c r="P26" s="636">
        <v>17480</v>
      </c>
      <c r="Q26" s="636">
        <v>32000</v>
      </c>
      <c r="R26" s="667">
        <f t="shared" si="9"/>
        <v>14520</v>
      </c>
      <c r="S26" s="488"/>
      <c r="T26" s="489"/>
    </row>
    <row r="27" spans="1:20" ht="15" customHeight="1">
      <c r="A27" s="470"/>
      <c r="B27" s="480"/>
      <c r="C27" s="642"/>
      <c r="D27" s="634" t="s">
        <v>609</v>
      </c>
      <c r="E27" s="635"/>
      <c r="F27" s="654">
        <v>0</v>
      </c>
      <c r="G27" s="654">
        <v>0</v>
      </c>
      <c r="H27" s="637">
        <f t="shared" si="10"/>
        <v>0</v>
      </c>
      <c r="I27" s="638"/>
      <c r="J27" s="636">
        <v>0</v>
      </c>
      <c r="K27" s="636">
        <v>0</v>
      </c>
      <c r="L27" s="637">
        <f t="shared" si="11"/>
        <v>0</v>
      </c>
      <c r="M27" s="639"/>
      <c r="N27" s="640"/>
      <c r="O27" s="655"/>
      <c r="P27" s="636">
        <v>30000</v>
      </c>
      <c r="Q27" s="636">
        <v>30000</v>
      </c>
      <c r="R27" s="667">
        <f t="shared" si="9"/>
        <v>0</v>
      </c>
      <c r="S27" s="488"/>
      <c r="T27" s="489"/>
    </row>
    <row r="28" spans="1:20" ht="15" customHeight="1">
      <c r="A28" s="470"/>
      <c r="B28" s="480"/>
      <c r="C28" s="642"/>
      <c r="D28" s="634" t="s">
        <v>610</v>
      </c>
      <c r="E28" s="635"/>
      <c r="F28" s="661">
        <v>3600</v>
      </c>
      <c r="G28" s="661">
        <v>20543</v>
      </c>
      <c r="H28" s="637">
        <f t="shared" si="10"/>
        <v>-16943</v>
      </c>
      <c r="I28" s="638"/>
      <c r="J28" s="662">
        <v>11700</v>
      </c>
      <c r="K28" s="662">
        <f>21421+11920</f>
        <v>33341</v>
      </c>
      <c r="L28" s="637">
        <f t="shared" si="11"/>
        <v>-21641</v>
      </c>
      <c r="M28" s="663"/>
      <c r="N28" s="664"/>
      <c r="O28" s="665"/>
      <c r="P28" s="636">
        <v>97541</v>
      </c>
      <c r="Q28" s="662">
        <v>46800</v>
      </c>
      <c r="R28" s="666">
        <f t="shared" si="9"/>
        <v>-50741</v>
      </c>
      <c r="S28" s="492"/>
      <c r="T28" s="493"/>
    </row>
    <row r="29" spans="1:20" ht="15" customHeight="1">
      <c r="A29" s="470"/>
      <c r="B29" s="480"/>
      <c r="C29" s="642"/>
      <c r="D29" s="634" t="s">
        <v>611</v>
      </c>
      <c r="E29" s="635"/>
      <c r="F29" s="654">
        <v>2500</v>
      </c>
      <c r="G29" s="654">
        <f>8500/3</f>
        <v>2833.3333333333335</v>
      </c>
      <c r="H29" s="637">
        <f t="shared" si="10"/>
        <v>-333.33333333333348</v>
      </c>
      <c r="I29" s="638"/>
      <c r="J29" s="636">
        <v>7500</v>
      </c>
      <c r="K29" s="636">
        <v>8571</v>
      </c>
      <c r="L29" s="637">
        <f t="shared" si="11"/>
        <v>-1071</v>
      </c>
      <c r="M29" s="639"/>
      <c r="N29" s="640"/>
      <c r="O29" s="655"/>
      <c r="P29" s="636">
        <v>31071</v>
      </c>
      <c r="Q29" s="636">
        <v>30000</v>
      </c>
      <c r="R29" s="656">
        <f t="shared" si="9"/>
        <v>-1071</v>
      </c>
      <c r="S29" s="488"/>
      <c r="T29" s="489"/>
    </row>
    <row r="30" spans="1:20" ht="15" customHeight="1">
      <c r="A30" s="470"/>
      <c r="B30" s="480"/>
      <c r="C30" s="642"/>
      <c r="D30" s="634" t="s">
        <v>612</v>
      </c>
      <c r="E30" s="635"/>
      <c r="F30" s="654">
        <v>6400</v>
      </c>
      <c r="G30" s="654">
        <v>6300</v>
      </c>
      <c r="H30" s="637">
        <f t="shared" si="10"/>
        <v>100</v>
      </c>
      <c r="I30" s="638"/>
      <c r="J30" s="636">
        <v>6400</v>
      </c>
      <c r="K30" s="636">
        <v>6230</v>
      </c>
      <c r="L30" s="637">
        <f t="shared" si="11"/>
        <v>170</v>
      </c>
      <c r="M30" s="639"/>
      <c r="N30" s="640"/>
      <c r="O30" s="655"/>
      <c r="P30" s="636">
        <v>25430</v>
      </c>
      <c r="Q30" s="636">
        <v>25600</v>
      </c>
      <c r="R30" s="656">
        <f t="shared" si="9"/>
        <v>170</v>
      </c>
      <c r="S30" s="488"/>
      <c r="T30" s="489"/>
    </row>
    <row r="31" spans="1:20" ht="15" customHeight="1">
      <c r="A31" s="470"/>
      <c r="B31" s="480"/>
      <c r="C31" s="642"/>
      <c r="D31" s="634" t="s">
        <v>613</v>
      </c>
      <c r="E31" s="635"/>
      <c r="F31" s="661">
        <v>24800</v>
      </c>
      <c r="G31" s="661">
        <f>71018/3</f>
        <v>23672.666666666668</v>
      </c>
      <c r="H31" s="637">
        <f t="shared" si="10"/>
        <v>1127.3333333333321</v>
      </c>
      <c r="I31" s="638"/>
      <c r="J31" s="662">
        <v>80600</v>
      </c>
      <c r="K31" s="662">
        <v>71014</v>
      </c>
      <c r="L31" s="637">
        <f t="shared" si="11"/>
        <v>9586</v>
      </c>
      <c r="M31" s="663"/>
      <c r="N31" s="664"/>
      <c r="O31" s="665"/>
      <c r="P31" s="636">
        <v>312814</v>
      </c>
      <c r="Q31" s="662">
        <v>322400</v>
      </c>
      <c r="R31" s="666">
        <f t="shared" si="9"/>
        <v>9586</v>
      </c>
      <c r="S31" s="492"/>
      <c r="T31" s="493"/>
    </row>
    <row r="32" spans="1:20" ht="15" customHeight="1">
      <c r="A32" s="470"/>
      <c r="B32" s="480"/>
      <c r="C32" s="668"/>
      <c r="D32" s="669" t="s">
        <v>614</v>
      </c>
      <c r="E32" s="670"/>
      <c r="F32" s="671">
        <v>1633.3333333333333</v>
      </c>
      <c r="G32" s="671">
        <v>1645</v>
      </c>
      <c r="H32" s="672">
        <f t="shared" si="10"/>
        <v>-11.666666666666742</v>
      </c>
      <c r="I32" s="673"/>
      <c r="J32" s="674">
        <v>4900</v>
      </c>
      <c r="K32" s="674">
        <v>4876</v>
      </c>
      <c r="L32" s="672">
        <f t="shared" si="11"/>
        <v>24</v>
      </c>
      <c r="M32" s="675"/>
      <c r="N32" s="676"/>
      <c r="O32" s="677"/>
      <c r="P32" s="678">
        <v>19576</v>
      </c>
      <c r="Q32" s="674">
        <v>19600</v>
      </c>
      <c r="R32" s="679">
        <f t="shared" si="9"/>
        <v>24</v>
      </c>
      <c r="S32" s="488"/>
      <c r="T32" s="489"/>
    </row>
    <row r="33" spans="2:20" ht="15" customHeight="1">
      <c r="F33" s="494"/>
      <c r="G33" s="494"/>
      <c r="H33" s="495"/>
      <c r="I33" s="496"/>
      <c r="J33" s="497"/>
      <c r="K33" s="497"/>
      <c r="L33" s="495"/>
      <c r="M33" s="498"/>
      <c r="N33" s="499"/>
      <c r="O33" s="500"/>
      <c r="P33" s="494"/>
      <c r="Q33" s="494"/>
      <c r="R33" s="494"/>
      <c r="S33" s="498"/>
      <c r="T33" s="499"/>
    </row>
    <row r="34" spans="2:20" ht="15" customHeight="1">
      <c r="B34" s="501"/>
      <c r="F34" s="502"/>
      <c r="G34" s="502"/>
      <c r="H34" s="503"/>
      <c r="I34" s="496"/>
      <c r="J34" s="502"/>
      <c r="K34" s="502"/>
      <c r="L34" s="503"/>
      <c r="M34" s="498"/>
      <c r="N34" s="499"/>
      <c r="O34" s="500"/>
      <c r="P34" s="502"/>
      <c r="Q34" s="502"/>
      <c r="R34" s="502"/>
      <c r="S34" s="498"/>
      <c r="T34" s="499"/>
    </row>
    <row r="35" spans="2:20" ht="14">
      <c r="J35" s="504"/>
      <c r="K35" s="504"/>
      <c r="L35" s="504"/>
      <c r="M35" s="505"/>
      <c r="N35" s="506"/>
      <c r="O35" s="507"/>
      <c r="P35" s="504"/>
      <c r="Q35" s="504"/>
      <c r="R35" s="504"/>
      <c r="S35" s="508"/>
      <c r="T35" s="509"/>
    </row>
    <row r="36" spans="2:20">
      <c r="J36" s="510"/>
      <c r="K36" s="510"/>
      <c r="L36" s="510"/>
      <c r="M36" s="510"/>
      <c r="N36" s="510"/>
      <c r="O36" s="511"/>
      <c r="P36" s="510"/>
      <c r="Q36" s="510"/>
      <c r="R36" s="510"/>
      <c r="S36" s="510"/>
      <c r="T36" s="510"/>
    </row>
    <row r="37" spans="2:20" ht="14">
      <c r="J37" s="510"/>
      <c r="K37" s="510"/>
      <c r="L37" s="510"/>
      <c r="M37" s="508"/>
      <c r="N37" s="509"/>
      <c r="O37" s="511"/>
      <c r="P37" s="510"/>
      <c r="Q37" s="510"/>
      <c r="R37" s="510"/>
      <c r="S37" s="508"/>
      <c r="T37" s="509"/>
    </row>
    <row r="38" spans="2:20" ht="14">
      <c r="J38" s="510"/>
      <c r="K38" s="510"/>
      <c r="L38" s="510"/>
      <c r="M38" s="512"/>
      <c r="N38" s="513"/>
      <c r="O38" s="514"/>
      <c r="P38" s="510"/>
      <c r="Q38" s="510"/>
      <c r="R38" s="510"/>
      <c r="S38" s="512"/>
      <c r="T38" s="513"/>
    </row>
    <row r="39" spans="2:20" ht="14">
      <c r="J39" s="510"/>
      <c r="K39" s="510"/>
      <c r="L39" s="510"/>
      <c r="M39" s="508"/>
      <c r="N39" s="515"/>
      <c r="O39" s="514"/>
      <c r="P39" s="510"/>
      <c r="Q39" s="510"/>
      <c r="R39" s="510"/>
      <c r="S39" s="508"/>
      <c r="T39" s="515"/>
    </row>
    <row r="40" spans="2:20" ht="14">
      <c r="J40" s="510"/>
      <c r="K40" s="510"/>
      <c r="L40" s="510"/>
      <c r="M40" s="512"/>
      <c r="N40" s="515"/>
      <c r="O40" s="514"/>
      <c r="P40" s="510"/>
      <c r="Q40" s="510"/>
      <c r="R40" s="510"/>
      <c r="S40" s="512"/>
      <c r="T40" s="515"/>
    </row>
    <row r="41" spans="2:20" ht="14">
      <c r="J41" s="510"/>
      <c r="K41" s="510"/>
      <c r="L41" s="510"/>
      <c r="M41" s="512"/>
      <c r="N41" s="515"/>
      <c r="O41" s="514"/>
      <c r="P41" s="510"/>
      <c r="Q41" s="510"/>
      <c r="R41" s="510"/>
      <c r="S41" s="512"/>
      <c r="T41" s="515"/>
    </row>
    <row r="42" spans="2:20" ht="14">
      <c r="J42" s="510"/>
      <c r="K42" s="510"/>
      <c r="L42" s="510"/>
      <c r="M42" s="508"/>
      <c r="N42" s="509"/>
      <c r="O42" s="511"/>
      <c r="P42" s="510"/>
      <c r="Q42" s="510"/>
      <c r="R42" s="510"/>
      <c r="S42" s="508"/>
      <c r="T42" s="509"/>
    </row>
    <row r="43" spans="2:20" ht="14">
      <c r="J43" s="510"/>
      <c r="K43" s="510"/>
      <c r="L43" s="510"/>
      <c r="M43" s="508"/>
      <c r="N43" s="509"/>
      <c r="O43" s="511"/>
      <c r="P43" s="510"/>
      <c r="Q43" s="510"/>
      <c r="R43" s="510"/>
      <c r="S43" s="508"/>
      <c r="T43" s="509"/>
    </row>
    <row r="44" spans="2:20" ht="14">
      <c r="J44" s="510"/>
      <c r="K44" s="510"/>
      <c r="L44" s="510"/>
      <c r="M44" s="512"/>
      <c r="N44" s="515"/>
      <c r="O44" s="514"/>
      <c r="P44" s="510"/>
      <c r="Q44" s="510"/>
      <c r="R44" s="510"/>
      <c r="S44" s="512"/>
      <c r="T44" s="515"/>
    </row>
    <row r="45" spans="2:20" ht="14">
      <c r="J45" s="516"/>
      <c r="K45" s="516"/>
      <c r="L45" s="516"/>
      <c r="M45" s="508"/>
      <c r="N45" s="515"/>
      <c r="O45" s="517"/>
      <c r="P45" s="516"/>
      <c r="Q45" s="516"/>
      <c r="R45" s="516"/>
      <c r="S45" s="508"/>
      <c r="T45" s="515"/>
    </row>
    <row r="46" spans="2:20" ht="14">
      <c r="J46" s="510"/>
      <c r="K46" s="510"/>
      <c r="L46" s="517"/>
      <c r="M46" s="512"/>
      <c r="N46" s="515"/>
      <c r="O46" s="517"/>
      <c r="P46" s="510"/>
      <c r="Q46" s="510"/>
      <c r="R46" s="517"/>
      <c r="S46" s="512"/>
      <c r="T46" s="515"/>
    </row>
  </sheetData>
  <mergeCells count="2">
    <mergeCell ref="F5:H5"/>
    <mergeCell ref="J5:L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4B6E8222-8C3D-444E-980C-03771530B3E1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M9:M16</xm:sqref>
        </x14:conditionalFormatting>
        <x14:conditionalFormatting xmlns:xm="http://schemas.microsoft.com/office/excel/2006/main">
          <x14:cfRule type="iconSet" priority="12" id="{57795A73-FC39-994A-BA6E-7AD77E74CED4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M37 M18:M35</xm:sqref>
        </x14:conditionalFormatting>
        <x14:conditionalFormatting xmlns:xm="http://schemas.microsoft.com/office/excel/2006/main">
          <x14:cfRule type="iconSet" priority="4" id="{2BF1F40C-99C4-0E44-98FE-0DB5630DA251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M39</xm:sqref>
        </x14:conditionalFormatting>
        <x14:conditionalFormatting xmlns:xm="http://schemas.microsoft.com/office/excel/2006/main">
          <x14:cfRule type="iconSet" priority="5" id="{CC8DD26C-F2E1-924E-BFA5-275033D743FD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M42:M43</xm:sqref>
        </x14:conditionalFormatting>
        <x14:conditionalFormatting xmlns:xm="http://schemas.microsoft.com/office/excel/2006/main">
          <x14:cfRule type="iconSet" priority="9" id="{9E62DB20-685B-8247-AC02-FE1FCF68523F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M44 M46 M38 M40:M41</xm:sqref>
        </x14:conditionalFormatting>
        <x14:conditionalFormatting xmlns:xm="http://schemas.microsoft.com/office/excel/2006/main">
          <x14:cfRule type="iconSet" priority="2" id="{19CAF1FF-8B1B-EE42-9793-37F4DD9D741D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M45</xm:sqref>
        </x14:conditionalFormatting>
        <x14:conditionalFormatting xmlns:xm="http://schemas.microsoft.com/office/excel/2006/main">
          <x14:cfRule type="iconSet" priority="11" id="{B9F7D28E-E1E5-A641-B483-A4129A15416F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S9:S16</xm:sqref>
        </x14:conditionalFormatting>
        <x14:conditionalFormatting xmlns:xm="http://schemas.microsoft.com/office/excel/2006/main">
          <x14:cfRule type="iconSet" priority="13" id="{E590458A-9C1E-CB4F-9ADD-E05E29469D00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S18:S35</xm:sqref>
        </x14:conditionalFormatting>
        <x14:conditionalFormatting xmlns:xm="http://schemas.microsoft.com/office/excel/2006/main">
          <x14:cfRule type="iconSet" priority="7" id="{8D94A4F1-83C1-0643-9A8E-4EA02F71916D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S37</xm:sqref>
        </x14:conditionalFormatting>
        <x14:conditionalFormatting xmlns:xm="http://schemas.microsoft.com/office/excel/2006/main">
          <x14:cfRule type="iconSet" priority="3" id="{E00DE01D-9304-384C-8245-5361BC09AE05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S39</xm:sqref>
        </x14:conditionalFormatting>
        <x14:conditionalFormatting xmlns:xm="http://schemas.microsoft.com/office/excel/2006/main">
          <x14:cfRule type="iconSet" priority="6" id="{014B8F35-A409-6C4D-9C7B-B698300180A0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S42:S43</xm:sqref>
        </x14:conditionalFormatting>
        <x14:conditionalFormatting xmlns:xm="http://schemas.microsoft.com/office/excel/2006/main">
          <x14:cfRule type="iconSet" priority="8" id="{11927D3F-4858-7F4F-A958-72108BD8D6C2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S44 S46 S38 S40:S41 S17</xm:sqref>
        </x14:conditionalFormatting>
        <x14:conditionalFormatting xmlns:xm="http://schemas.microsoft.com/office/excel/2006/main">
          <x14:cfRule type="iconSet" priority="1" id="{881D25B9-720C-0D4F-B22D-19593DCB8E16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S45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3E42-41E7-BE48-A32E-A1DAF2CC21B2}">
  <dimension ref="B2:T70"/>
  <sheetViews>
    <sheetView topLeftCell="A24" workbookViewId="0">
      <selection activeCell="K53" sqref="K53"/>
    </sheetView>
  </sheetViews>
  <sheetFormatPr baseColWidth="10" defaultRowHeight="13"/>
  <cols>
    <col min="2" max="2" width="3.6640625" customWidth="1"/>
    <col min="3" max="3" width="4" customWidth="1"/>
    <col min="4" max="4" width="58.6640625" customWidth="1"/>
    <col min="5" max="5" width="2.83203125" customWidth="1"/>
    <col min="6" max="8" width="12.83203125" customWidth="1"/>
    <col min="9" max="9" width="2.83203125" customWidth="1"/>
    <col min="10" max="12" width="12.83203125" customWidth="1"/>
    <col min="13" max="13" width="2.83203125" customWidth="1"/>
    <col min="14" max="14" width="4.83203125" hidden="1" customWidth="1"/>
    <col min="15" max="15" width="10.83203125" hidden="1" customWidth="1"/>
    <col min="16" max="18" width="12.83203125" customWidth="1"/>
  </cols>
  <sheetData>
    <row r="2" spans="2:20">
      <c r="D2" t="s">
        <v>615</v>
      </c>
    </row>
    <row r="3" spans="2:20">
      <c r="D3" s="443" t="s">
        <v>616</v>
      </c>
      <c r="E3" s="443"/>
      <c r="F3" s="443"/>
      <c r="G3" s="443"/>
      <c r="H3" s="443"/>
      <c r="I3" s="443"/>
    </row>
    <row r="4" spans="2:20">
      <c r="D4" t="s">
        <v>617</v>
      </c>
    </row>
    <row r="5" spans="2:20" ht="20" customHeight="1"/>
    <row r="6" spans="2:20" ht="15" customHeight="1">
      <c r="B6" s="518"/>
      <c r="C6" s="518"/>
      <c r="D6" s="518"/>
      <c r="E6" s="518"/>
      <c r="F6" s="718" t="s">
        <v>242</v>
      </c>
      <c r="G6" s="719"/>
      <c r="H6" s="720"/>
      <c r="I6" s="518"/>
      <c r="J6" s="718" t="s">
        <v>290</v>
      </c>
      <c r="K6" s="719"/>
      <c r="L6" s="720"/>
      <c r="M6" s="519"/>
      <c r="N6" s="469"/>
      <c r="O6" s="520"/>
      <c r="P6" s="718" t="s">
        <v>618</v>
      </c>
      <c r="Q6" s="719"/>
      <c r="R6" s="720"/>
      <c r="S6" s="521"/>
      <c r="T6" s="452"/>
    </row>
    <row r="7" spans="2:20" ht="15" customHeight="1">
      <c r="B7" s="518"/>
      <c r="C7" s="518"/>
      <c r="D7" s="518"/>
      <c r="E7" s="518"/>
      <c r="F7" s="522" t="s">
        <v>288</v>
      </c>
      <c r="G7" s="523" t="s">
        <v>347</v>
      </c>
      <c r="H7" s="524" t="s">
        <v>321</v>
      </c>
      <c r="I7" s="518"/>
      <c r="J7" s="522" t="s">
        <v>288</v>
      </c>
      <c r="K7" s="523" t="s">
        <v>347</v>
      </c>
      <c r="L7" s="524" t="s">
        <v>321</v>
      </c>
      <c r="M7" s="523"/>
      <c r="N7" s="525" t="s">
        <v>588</v>
      </c>
      <c r="O7" s="520"/>
      <c r="P7" s="522" t="s">
        <v>288</v>
      </c>
      <c r="Q7" s="523" t="s">
        <v>463</v>
      </c>
      <c r="R7" s="524" t="s">
        <v>321</v>
      </c>
      <c r="S7" s="521"/>
      <c r="T7" s="459" t="s">
        <v>588</v>
      </c>
    </row>
    <row r="8" spans="2:20" ht="15" customHeight="1">
      <c r="B8" s="518"/>
      <c r="C8" s="518"/>
      <c r="D8" s="518"/>
      <c r="E8" s="518"/>
      <c r="F8" s="526"/>
      <c r="G8" s="518"/>
      <c r="H8" s="527"/>
      <c r="I8" s="518"/>
      <c r="J8" s="528"/>
      <c r="K8" s="529"/>
      <c r="L8" s="530"/>
      <c r="M8" s="529"/>
      <c r="N8" s="469"/>
      <c r="O8" s="520"/>
      <c r="P8" s="528"/>
      <c r="Q8" s="529"/>
      <c r="R8" s="530"/>
      <c r="S8" s="521"/>
      <c r="T8" s="469"/>
    </row>
    <row r="9" spans="2:20" ht="15" customHeight="1">
      <c r="B9" s="531" t="s">
        <v>619</v>
      </c>
      <c r="C9" s="532"/>
      <c r="D9" s="533"/>
      <c r="E9" s="518"/>
      <c r="F9" s="534"/>
      <c r="G9" s="535"/>
      <c r="H9" s="536"/>
      <c r="I9" s="518"/>
      <c r="J9" s="534"/>
      <c r="K9" s="535"/>
      <c r="L9" s="536"/>
      <c r="M9" s="529"/>
      <c r="N9" s="469"/>
      <c r="O9" s="520"/>
      <c r="P9" s="534"/>
      <c r="Q9" s="535"/>
      <c r="R9" s="536"/>
      <c r="S9" s="521"/>
      <c r="T9" s="469"/>
    </row>
    <row r="10" spans="2:20" ht="15" customHeight="1">
      <c r="B10" s="537"/>
      <c r="D10" s="527" t="s">
        <v>620</v>
      </c>
      <c r="E10" s="518"/>
      <c r="F10" s="538">
        <v>4.9000000000000004</v>
      </c>
      <c r="G10" s="539">
        <v>4.9000000000000004</v>
      </c>
      <c r="H10" s="540">
        <f>F10-G10</f>
        <v>0</v>
      </c>
      <c r="I10" s="518"/>
      <c r="J10" s="538">
        <v>4.9000000000000004</v>
      </c>
      <c r="K10" s="539">
        <v>4.9000000000000004</v>
      </c>
      <c r="L10" s="540">
        <f>J10-K10</f>
        <v>0</v>
      </c>
      <c r="M10" s="529"/>
      <c r="N10" s="469"/>
      <c r="O10" s="520"/>
      <c r="P10" s="538">
        <v>4.9000000000000004</v>
      </c>
      <c r="Q10" s="539">
        <v>4.9000000000000004</v>
      </c>
      <c r="R10" s="540">
        <f>P10-Q10</f>
        <v>0</v>
      </c>
      <c r="S10" s="521"/>
      <c r="T10" s="469"/>
    </row>
    <row r="11" spans="2:20" ht="15" customHeight="1">
      <c r="B11" s="541" t="s">
        <v>621</v>
      </c>
      <c r="C11" s="518"/>
      <c r="D11" s="527"/>
      <c r="E11" s="518"/>
      <c r="F11" s="542">
        <f>F10</f>
        <v>4.9000000000000004</v>
      </c>
      <c r="G11" s="543">
        <f>G10</f>
        <v>4.9000000000000004</v>
      </c>
      <c r="H11" s="544">
        <f>F11-G11</f>
        <v>0</v>
      </c>
      <c r="I11" s="518"/>
      <c r="J11" s="542">
        <f>J10</f>
        <v>4.9000000000000004</v>
      </c>
      <c r="K11" s="543">
        <f>K10</f>
        <v>4.9000000000000004</v>
      </c>
      <c r="L11" s="544">
        <f>J11-K11</f>
        <v>0</v>
      </c>
      <c r="M11" s="529"/>
      <c r="N11" s="469"/>
      <c r="O11" s="520"/>
      <c r="P11" s="542">
        <f>P10</f>
        <v>4.9000000000000004</v>
      </c>
      <c r="Q11" s="543">
        <f>Q10</f>
        <v>4.9000000000000004</v>
      </c>
      <c r="R11" s="544">
        <f>P11-Q11</f>
        <v>0</v>
      </c>
      <c r="S11" s="521"/>
      <c r="T11" s="469"/>
    </row>
    <row r="12" spans="2:20" ht="15" customHeight="1">
      <c r="B12" s="537"/>
      <c r="C12" s="518"/>
      <c r="D12" s="527"/>
      <c r="E12" s="518"/>
      <c r="F12" s="526"/>
      <c r="G12" s="518"/>
      <c r="H12" s="527"/>
      <c r="I12" s="518"/>
      <c r="J12" s="528"/>
      <c r="K12" s="529"/>
      <c r="L12" s="530"/>
      <c r="M12" s="529"/>
      <c r="N12" s="469"/>
      <c r="O12" s="520"/>
      <c r="P12" s="528"/>
      <c r="Q12" s="529"/>
      <c r="R12" s="530"/>
      <c r="S12" s="521"/>
      <c r="T12" s="469"/>
    </row>
    <row r="13" spans="2:20" ht="15" customHeight="1">
      <c r="B13" s="545" t="s">
        <v>622</v>
      </c>
      <c r="C13" s="546"/>
      <c r="D13" s="536"/>
      <c r="E13" s="518"/>
      <c r="F13" s="534"/>
      <c r="G13" s="535"/>
      <c r="H13" s="536"/>
      <c r="I13" s="518"/>
      <c r="J13" s="534"/>
      <c r="K13" s="535"/>
      <c r="L13" s="536"/>
      <c r="M13" s="529"/>
      <c r="N13" s="469"/>
      <c r="O13" s="520"/>
      <c r="P13" s="534"/>
      <c r="Q13" s="535"/>
      <c r="R13" s="536"/>
      <c r="S13" s="521"/>
      <c r="T13" s="469"/>
    </row>
    <row r="14" spans="2:20" ht="15" customHeight="1">
      <c r="B14" s="537"/>
      <c r="C14" s="518"/>
      <c r="D14" s="527"/>
      <c r="E14" s="518"/>
      <c r="F14" s="526"/>
      <c r="G14" s="518"/>
      <c r="H14" s="527"/>
      <c r="I14" s="518"/>
      <c r="J14" s="528"/>
      <c r="K14" s="529"/>
      <c r="L14" s="530"/>
      <c r="M14" s="529"/>
      <c r="N14" s="469"/>
      <c r="O14" s="520"/>
      <c r="P14" s="528"/>
      <c r="Q14" s="529"/>
      <c r="R14" s="530"/>
      <c r="S14" s="521"/>
      <c r="T14" s="469"/>
    </row>
    <row r="15" spans="2:20" ht="15" customHeight="1">
      <c r="B15" s="547" t="s">
        <v>623</v>
      </c>
      <c r="C15" s="518"/>
      <c r="D15" s="527"/>
      <c r="E15" s="518"/>
      <c r="F15" s="537"/>
      <c r="G15" s="518"/>
      <c r="H15" s="527"/>
      <c r="I15" s="518"/>
      <c r="J15" s="528"/>
      <c r="K15" s="529"/>
      <c r="L15" s="530"/>
      <c r="M15" s="529"/>
      <c r="N15" s="469"/>
      <c r="O15" s="520"/>
      <c r="P15" s="528"/>
      <c r="Q15" s="529"/>
      <c r="R15" s="530"/>
      <c r="S15" s="521"/>
      <c r="T15" s="469"/>
    </row>
    <row r="16" spans="2:20" ht="15" customHeight="1">
      <c r="B16" s="547"/>
      <c r="C16" s="518"/>
      <c r="D16" s="527"/>
      <c r="E16" s="518"/>
      <c r="F16" s="537"/>
      <c r="G16" s="518"/>
      <c r="H16" s="527"/>
      <c r="I16" s="518"/>
      <c r="J16" s="528"/>
      <c r="K16" s="529"/>
      <c r="L16" s="530"/>
      <c r="M16" s="529"/>
      <c r="N16" s="469"/>
      <c r="O16" s="520"/>
      <c r="P16" s="528"/>
      <c r="Q16" s="529"/>
      <c r="R16" s="530"/>
      <c r="S16" s="521"/>
      <c r="T16" s="469"/>
    </row>
    <row r="17" spans="2:20" ht="15" customHeight="1">
      <c r="B17" s="541" t="s">
        <v>624</v>
      </c>
      <c r="C17" s="548"/>
      <c r="D17" s="549"/>
      <c r="E17" s="550"/>
      <c r="F17" s="551">
        <f>SUM(F18:F24)</f>
        <v>39741.399222328771</v>
      </c>
      <c r="G17" s="552">
        <f>SUM(G18:G24)</f>
        <v>39992.271146153849</v>
      </c>
      <c r="H17" s="553">
        <f>F17-G17</f>
        <v>-250.87192382507783</v>
      </c>
      <c r="I17" s="554"/>
      <c r="J17" s="551">
        <f>SUM(J18:J24)</f>
        <v>121873.62428180821</v>
      </c>
      <c r="K17" s="552">
        <f>SUM(K18:K24)</f>
        <v>122588.9</v>
      </c>
      <c r="L17" s="553">
        <f>J17-K17</f>
        <v>-715.27571819178411</v>
      </c>
      <c r="M17" s="555"/>
      <c r="N17" s="556"/>
      <c r="O17" s="557"/>
      <c r="P17" s="551">
        <f>SUM(P18:P24)</f>
        <v>483520.35720499995</v>
      </c>
      <c r="Q17" s="552">
        <f>SUM(Q18:Q24)</f>
        <v>484235.63292319165</v>
      </c>
      <c r="R17" s="553">
        <f>P17-Q17</f>
        <v>-715.2757181916968</v>
      </c>
      <c r="S17" s="488"/>
      <c r="T17" s="489"/>
    </row>
    <row r="18" spans="2:20" ht="15" customHeight="1">
      <c r="B18" s="541"/>
      <c r="C18" s="548"/>
      <c r="D18" s="558" t="s">
        <v>625</v>
      </c>
      <c r="E18" s="559"/>
      <c r="F18" s="560">
        <v>29500.773146931882</v>
      </c>
      <c r="G18" s="561">
        <v>29687</v>
      </c>
      <c r="H18" s="562">
        <f t="shared" ref="H18:H24" si="0">F18-G18</f>
        <v>-186.22685306811763</v>
      </c>
      <c r="I18" s="563"/>
      <c r="J18" s="560">
        <v>90469.037650591097</v>
      </c>
      <c r="K18" s="561">
        <v>91000</v>
      </c>
      <c r="L18" s="562">
        <f t="shared" ref="L18:L24" si="1">J18-K18</f>
        <v>-530.96234940890281</v>
      </c>
      <c r="M18" s="564"/>
      <c r="N18" s="565"/>
      <c r="O18" s="566"/>
      <c r="P18" s="560">
        <v>358926.0732876712</v>
      </c>
      <c r="Q18" s="561">
        <v>359457.03563708009</v>
      </c>
      <c r="R18" s="562">
        <f t="shared" ref="R18:R24" si="2">P18-Q18</f>
        <v>-530.96234940888826</v>
      </c>
      <c r="S18" s="488"/>
      <c r="T18" s="489"/>
    </row>
    <row r="19" spans="2:20" ht="15" customHeight="1">
      <c r="B19" s="541"/>
      <c r="C19" s="548"/>
      <c r="D19" s="558" t="s">
        <v>626</v>
      </c>
      <c r="E19" s="559"/>
      <c r="F19" s="560">
        <v>1815.4321936573467</v>
      </c>
      <c r="G19" s="561">
        <f>G18/325*20</f>
        <v>1826.8923076923077</v>
      </c>
      <c r="H19" s="562">
        <f t="shared" si="0"/>
        <v>-11.460114034960952</v>
      </c>
      <c r="I19" s="563"/>
      <c r="J19" s="560">
        <v>5567.3253938825292</v>
      </c>
      <c r="K19" s="561">
        <v>5600</v>
      </c>
      <c r="L19" s="562">
        <f t="shared" si="1"/>
        <v>-32.67460611747083</v>
      </c>
      <c r="M19" s="564"/>
      <c r="N19" s="565"/>
      <c r="O19" s="566"/>
      <c r="P19" s="560">
        <v>22087.758356164381</v>
      </c>
      <c r="Q19" s="561">
        <v>22120.432962281855</v>
      </c>
      <c r="R19" s="562">
        <f t="shared" si="2"/>
        <v>-32.674606117474468</v>
      </c>
      <c r="S19" s="488"/>
      <c r="T19" s="489"/>
    </row>
    <row r="20" spans="2:20" ht="15" customHeight="1">
      <c r="B20" s="541"/>
      <c r="C20" s="548"/>
      <c r="D20" s="527" t="s">
        <v>627</v>
      </c>
      <c r="E20" s="550"/>
      <c r="F20" s="560">
        <v>1815.4321936573467</v>
      </c>
      <c r="G20" s="561">
        <f>G18/325*20</f>
        <v>1826.8923076923077</v>
      </c>
      <c r="H20" s="562">
        <f t="shared" si="0"/>
        <v>-11.460114034960952</v>
      </c>
      <c r="I20" s="567"/>
      <c r="J20" s="560">
        <v>5567.3253938825292</v>
      </c>
      <c r="K20" s="561">
        <v>5600</v>
      </c>
      <c r="L20" s="562">
        <f t="shared" si="1"/>
        <v>-32.67460611747083</v>
      </c>
      <c r="M20" s="564"/>
      <c r="N20" s="565"/>
      <c r="O20" s="566"/>
      <c r="P20" s="560">
        <v>22087.758356164381</v>
      </c>
      <c r="Q20" s="561">
        <v>22120.432962281855</v>
      </c>
      <c r="R20" s="562">
        <f t="shared" si="2"/>
        <v>-32.674606117474468</v>
      </c>
      <c r="S20" s="488"/>
      <c r="T20" s="489"/>
    </row>
    <row r="21" spans="2:20" ht="15" customHeight="1">
      <c r="B21" s="541"/>
      <c r="C21" s="548"/>
      <c r="D21" s="527" t="s">
        <v>628</v>
      </c>
      <c r="E21" s="550"/>
      <c r="F21" s="560">
        <v>993.94912602739726</v>
      </c>
      <c r="G21" s="561">
        <v>1000.2235384615385</v>
      </c>
      <c r="H21" s="562">
        <f t="shared" si="0"/>
        <v>-6.2744124341412544</v>
      </c>
      <c r="I21" s="567"/>
      <c r="J21" s="560">
        <v>3048.1106531506844</v>
      </c>
      <c r="K21" s="561">
        <v>3066</v>
      </c>
      <c r="L21" s="562">
        <f t="shared" si="1"/>
        <v>-17.889346849315643</v>
      </c>
      <c r="M21" s="564"/>
      <c r="N21" s="565"/>
      <c r="O21" s="566"/>
      <c r="P21" s="560">
        <v>12093.047699999999</v>
      </c>
      <c r="Q21" s="561">
        <v>12110.937046849314</v>
      </c>
      <c r="R21" s="568">
        <f t="shared" si="2"/>
        <v>-17.889346849315189</v>
      </c>
      <c r="S21" s="488"/>
      <c r="T21" s="489"/>
    </row>
    <row r="22" spans="2:20" ht="15" customHeight="1">
      <c r="B22" s="541"/>
      <c r="C22" s="548"/>
      <c r="D22" s="527" t="s">
        <v>629</v>
      </c>
      <c r="E22" s="550"/>
      <c r="F22" s="560">
        <v>3644.4801287671235</v>
      </c>
      <c r="G22" s="561">
        <v>3667.4863076923079</v>
      </c>
      <c r="H22" s="562">
        <f t="shared" si="0"/>
        <v>-23.006178925184486</v>
      </c>
      <c r="I22" s="567"/>
      <c r="J22" s="560">
        <v>11176.405728219177</v>
      </c>
      <c r="K22" s="561">
        <v>11242</v>
      </c>
      <c r="L22" s="562">
        <f t="shared" si="1"/>
        <v>-65.594271780822965</v>
      </c>
      <c r="M22" s="564"/>
      <c r="N22" s="565"/>
      <c r="O22" s="566"/>
      <c r="P22" s="560">
        <v>44341.174899999998</v>
      </c>
      <c r="Q22" s="561">
        <v>44406.769171780819</v>
      </c>
      <c r="R22" s="568">
        <f t="shared" si="2"/>
        <v>-65.594271780821146</v>
      </c>
      <c r="S22" s="488"/>
      <c r="T22" s="489"/>
    </row>
    <row r="23" spans="2:20" ht="15" customHeight="1">
      <c r="B23" s="541"/>
      <c r="C23" s="548"/>
      <c r="D23" s="527" t="s">
        <v>630</v>
      </c>
      <c r="E23" s="550"/>
      <c r="F23" s="560">
        <v>1640.0160579452056</v>
      </c>
      <c r="G23" s="561">
        <v>1650.3688384615386</v>
      </c>
      <c r="H23" s="562">
        <f t="shared" si="0"/>
        <v>-10.352780516333041</v>
      </c>
      <c r="I23" s="567"/>
      <c r="J23" s="560">
        <v>5029.3825776986296</v>
      </c>
      <c r="K23" s="561">
        <v>5058.9000000000005</v>
      </c>
      <c r="L23" s="562">
        <f t="shared" si="1"/>
        <v>-29.517422301370971</v>
      </c>
      <c r="M23" s="564"/>
      <c r="N23" s="565"/>
      <c r="O23" s="566"/>
      <c r="P23" s="560">
        <v>19953.528705000001</v>
      </c>
      <c r="Q23" s="561">
        <v>19983.046127301368</v>
      </c>
      <c r="R23" s="568">
        <f t="shared" si="2"/>
        <v>-29.517422301367333</v>
      </c>
      <c r="S23" s="488"/>
      <c r="T23" s="489"/>
    </row>
    <row r="24" spans="2:20" ht="15" customHeight="1">
      <c r="B24" s="541"/>
      <c r="C24" s="548"/>
      <c r="D24" s="527" t="s">
        <v>631</v>
      </c>
      <c r="E24" s="550"/>
      <c r="F24" s="560">
        <v>331.31637534246579</v>
      </c>
      <c r="G24" s="561">
        <v>333.40784615384621</v>
      </c>
      <c r="H24" s="562">
        <f t="shared" si="0"/>
        <v>-2.0914708113804181</v>
      </c>
      <c r="I24" s="567"/>
      <c r="J24" s="560">
        <v>1016.0368843835615</v>
      </c>
      <c r="K24" s="561">
        <v>1022</v>
      </c>
      <c r="L24" s="562">
        <f t="shared" si="1"/>
        <v>-5.963115616438472</v>
      </c>
      <c r="M24" s="564"/>
      <c r="N24" s="565"/>
      <c r="O24" s="566"/>
      <c r="P24" s="560">
        <v>4031.0158999999999</v>
      </c>
      <c r="Q24" s="561">
        <v>4036.9790156164381</v>
      </c>
      <c r="R24" s="568">
        <f t="shared" si="2"/>
        <v>-5.9631156164382446</v>
      </c>
      <c r="S24" s="488"/>
      <c r="T24" s="489"/>
    </row>
    <row r="25" spans="2:20" ht="15" customHeight="1">
      <c r="B25" s="541"/>
      <c r="C25" s="548"/>
      <c r="D25" s="549"/>
      <c r="E25" s="550"/>
      <c r="F25" s="569"/>
      <c r="G25" s="510"/>
      <c r="H25" s="570"/>
      <c r="I25" s="550"/>
      <c r="J25" s="569"/>
      <c r="K25" s="510"/>
      <c r="L25" s="570"/>
      <c r="M25" s="488"/>
      <c r="N25" s="489"/>
      <c r="O25" s="571"/>
      <c r="P25" s="569"/>
      <c r="Q25" s="510"/>
      <c r="R25" s="570"/>
      <c r="S25" s="488"/>
      <c r="T25" s="489"/>
    </row>
    <row r="26" spans="2:20" ht="15" customHeight="1">
      <c r="B26" s="541" t="s">
        <v>632</v>
      </c>
      <c r="C26" s="548"/>
      <c r="D26" s="549"/>
      <c r="E26" s="550"/>
      <c r="F26" s="572">
        <f>F17</f>
        <v>39741.399222328771</v>
      </c>
      <c r="G26" s="573">
        <f>G17</f>
        <v>39992.271146153849</v>
      </c>
      <c r="H26" s="574">
        <f>F26-G26</f>
        <v>-250.87192382507783</v>
      </c>
      <c r="I26" s="550"/>
      <c r="J26" s="572">
        <f>J17</f>
        <v>121873.62428180821</v>
      </c>
      <c r="K26" s="573">
        <f>K17</f>
        <v>122588.9</v>
      </c>
      <c r="L26" s="574">
        <f>J26-K26</f>
        <v>-715.27571819178411</v>
      </c>
      <c r="M26" s="488"/>
      <c r="N26" s="489"/>
      <c r="O26" s="571"/>
      <c r="P26" s="572">
        <f>P17</f>
        <v>483520.35720499995</v>
      </c>
      <c r="Q26" s="573">
        <f>Q17</f>
        <v>484235.63292319165</v>
      </c>
      <c r="R26" s="574">
        <f>P26-Q26</f>
        <v>-715.2757181916968</v>
      </c>
      <c r="S26" s="488"/>
      <c r="T26" s="489"/>
    </row>
    <row r="27" spans="2:20" ht="15" customHeight="1">
      <c r="B27" s="541"/>
      <c r="C27" s="548"/>
      <c r="D27" s="549"/>
      <c r="E27" s="550"/>
      <c r="F27" s="569"/>
      <c r="G27" s="510"/>
      <c r="H27" s="570"/>
      <c r="I27" s="550"/>
      <c r="J27" s="569"/>
      <c r="K27" s="510"/>
      <c r="L27" s="570"/>
      <c r="M27" s="488"/>
      <c r="N27" s="489"/>
      <c r="O27" s="571"/>
      <c r="P27" s="569"/>
      <c r="Q27" s="510"/>
      <c r="R27" s="570"/>
      <c r="S27" s="488"/>
      <c r="T27" s="489"/>
    </row>
    <row r="28" spans="2:20" ht="15" customHeight="1">
      <c r="B28" s="547" t="s">
        <v>633</v>
      </c>
      <c r="C28" s="518"/>
      <c r="D28" s="527"/>
      <c r="E28" s="518"/>
      <c r="F28" s="569"/>
      <c r="G28" s="510"/>
      <c r="H28" s="575"/>
      <c r="I28" s="518"/>
      <c r="J28" s="569"/>
      <c r="K28" s="510"/>
      <c r="L28" s="575"/>
      <c r="M28" s="491"/>
      <c r="N28" s="489"/>
      <c r="O28" s="511"/>
      <c r="P28" s="569"/>
      <c r="Q28" s="510"/>
      <c r="R28" s="575"/>
      <c r="S28" s="491"/>
      <c r="T28" s="489"/>
    </row>
    <row r="29" spans="2:20" ht="15" customHeight="1">
      <c r="B29" s="547"/>
      <c r="C29" s="518"/>
      <c r="D29" s="527"/>
      <c r="E29" s="518"/>
      <c r="F29" s="569"/>
      <c r="G29" s="510"/>
      <c r="H29" s="575"/>
      <c r="I29" s="518"/>
      <c r="J29" s="569"/>
      <c r="K29" s="510"/>
      <c r="L29" s="575"/>
      <c r="M29" s="491"/>
      <c r="N29" s="489"/>
      <c r="O29" s="511"/>
      <c r="P29" s="569"/>
      <c r="Q29" s="510"/>
      <c r="R29" s="575"/>
      <c r="S29" s="491"/>
      <c r="T29" s="489"/>
    </row>
    <row r="30" spans="2:20" ht="15" customHeight="1">
      <c r="B30" s="576" t="s">
        <v>634</v>
      </c>
      <c r="C30" s="518"/>
      <c r="D30" s="527"/>
      <c r="E30" s="518"/>
      <c r="F30" s="569"/>
      <c r="G30" s="510"/>
      <c r="H30" s="575"/>
      <c r="I30" s="518"/>
      <c r="J30" s="569"/>
      <c r="K30" s="510"/>
      <c r="L30" s="575"/>
      <c r="M30" s="510"/>
      <c r="N30" s="489"/>
      <c r="O30" s="511"/>
      <c r="P30" s="569"/>
      <c r="Q30" s="510"/>
      <c r="R30" s="575"/>
      <c r="S30" s="510"/>
      <c r="T30" s="489"/>
    </row>
    <row r="31" spans="2:20" ht="15" customHeight="1">
      <c r="B31" s="537"/>
      <c r="C31" s="518"/>
      <c r="D31" s="527"/>
      <c r="E31" s="518"/>
      <c r="F31" s="569"/>
      <c r="G31" s="510"/>
      <c r="H31" s="575"/>
      <c r="I31" s="518"/>
      <c r="J31" s="569"/>
      <c r="K31" s="510"/>
      <c r="L31" s="575"/>
      <c r="M31" s="510"/>
      <c r="N31" s="489"/>
      <c r="O31" s="511"/>
      <c r="P31" s="569"/>
      <c r="Q31" s="510"/>
      <c r="R31" s="575"/>
      <c r="S31" s="510"/>
      <c r="T31" s="489"/>
    </row>
    <row r="32" spans="2:20" ht="15" customHeight="1">
      <c r="B32" s="537" t="s">
        <v>635</v>
      </c>
      <c r="C32" s="518"/>
      <c r="D32" s="577"/>
      <c r="E32" s="578"/>
      <c r="F32" s="579">
        <f>SUM(F33:F35)</f>
        <v>12929.336310041666</v>
      </c>
      <c r="G32" s="580">
        <f>SUM(G33:G35)</f>
        <v>12601.333333333334</v>
      </c>
      <c r="H32" s="553">
        <f t="shared" ref="H32:H50" si="3">F32-G32</f>
        <v>328.00297670833243</v>
      </c>
      <c r="I32" s="581"/>
      <c r="J32" s="582">
        <f>SUM(J33:J35)</f>
        <v>25988.008930125001</v>
      </c>
      <c r="K32" s="583">
        <f>SUM(K33:K35)</f>
        <v>24677</v>
      </c>
      <c r="L32" s="553">
        <f t="shared" ref="L32:L54" si="4">J32-K32</f>
        <v>1311.0089301250009</v>
      </c>
      <c r="M32" s="492"/>
      <c r="N32" s="493"/>
      <c r="O32" s="584"/>
      <c r="P32" s="585">
        <f>SUM(P33:P35)</f>
        <v>103952.0357205</v>
      </c>
      <c r="Q32" s="586">
        <f>SUM(Q33:Q35)</f>
        <v>102641.02679037501</v>
      </c>
      <c r="R32" s="587">
        <f t="shared" ref="R32:R54" si="5">P32-Q32</f>
        <v>1311.0089301249973</v>
      </c>
      <c r="S32" s="492"/>
      <c r="T32" s="489"/>
    </row>
    <row r="33" spans="2:20" ht="15" customHeight="1">
      <c r="B33" s="537"/>
      <c r="C33" s="518"/>
      <c r="D33" s="558" t="s">
        <v>496</v>
      </c>
      <c r="E33" s="559"/>
      <c r="F33" s="588">
        <v>4029.3363100416668</v>
      </c>
      <c r="G33" s="494">
        <v>3468</v>
      </c>
      <c r="H33" s="562">
        <f t="shared" si="3"/>
        <v>561.33631004166682</v>
      </c>
      <c r="I33" s="589"/>
      <c r="J33" s="590">
        <v>12088.008930125001</v>
      </c>
      <c r="K33" s="591">
        <v>9876</v>
      </c>
      <c r="L33" s="562">
        <f t="shared" si="4"/>
        <v>2212.0089301250009</v>
      </c>
      <c r="M33" s="488"/>
      <c r="N33" s="489"/>
      <c r="O33" s="511"/>
      <c r="P33" s="560">
        <v>48352.035720500004</v>
      </c>
      <c r="Q33" s="561">
        <v>46140.026790375006</v>
      </c>
      <c r="R33" s="592">
        <f t="shared" si="5"/>
        <v>2212.0089301249973</v>
      </c>
      <c r="S33" s="488"/>
      <c r="T33" s="489"/>
    </row>
    <row r="34" spans="2:20" ht="15" customHeight="1">
      <c r="B34" s="537"/>
      <c r="C34" s="518"/>
      <c r="D34" s="558" t="s">
        <v>497</v>
      </c>
      <c r="E34" s="559"/>
      <c r="F34" s="588">
        <v>6400</v>
      </c>
      <c r="G34" s="494">
        <v>6300</v>
      </c>
      <c r="H34" s="562">
        <f t="shared" si="3"/>
        <v>100</v>
      </c>
      <c r="I34" s="589"/>
      <c r="J34" s="590">
        <v>6400</v>
      </c>
      <c r="K34" s="591">
        <v>6230</v>
      </c>
      <c r="L34" s="562">
        <f t="shared" si="4"/>
        <v>170</v>
      </c>
      <c r="M34" s="488"/>
      <c r="N34" s="489"/>
      <c r="O34" s="511"/>
      <c r="P34" s="560">
        <v>25600</v>
      </c>
      <c r="Q34" s="561">
        <v>25430</v>
      </c>
      <c r="R34" s="592">
        <f t="shared" si="5"/>
        <v>170</v>
      </c>
      <c r="S34" s="488"/>
      <c r="T34" s="489"/>
    </row>
    <row r="35" spans="2:20" ht="15" customHeight="1">
      <c r="B35" s="537"/>
      <c r="C35" s="518"/>
      <c r="D35" s="558" t="s">
        <v>636</v>
      </c>
      <c r="E35" s="559"/>
      <c r="F35" s="588">
        <v>2500</v>
      </c>
      <c r="G35" s="494">
        <f>8500/3</f>
        <v>2833.3333333333335</v>
      </c>
      <c r="H35" s="562">
        <f t="shared" si="3"/>
        <v>-333.33333333333348</v>
      </c>
      <c r="I35" s="589"/>
      <c r="J35" s="590">
        <v>7500</v>
      </c>
      <c r="K35" s="591">
        <v>8571</v>
      </c>
      <c r="L35" s="562">
        <f t="shared" si="4"/>
        <v>-1071</v>
      </c>
      <c r="M35" s="488"/>
      <c r="N35" s="489"/>
      <c r="O35" s="511"/>
      <c r="P35" s="560">
        <v>30000</v>
      </c>
      <c r="Q35" s="561">
        <v>31071</v>
      </c>
      <c r="R35" s="592">
        <f t="shared" si="5"/>
        <v>-1071</v>
      </c>
      <c r="S35" s="488"/>
      <c r="T35" s="489"/>
    </row>
    <row r="36" spans="2:20" ht="15" customHeight="1">
      <c r="B36" s="537" t="s">
        <v>637</v>
      </c>
      <c r="C36" s="518"/>
      <c r="D36" s="593"/>
      <c r="E36" s="578"/>
      <c r="F36" s="579">
        <f>SUM(F37:F39)</f>
        <v>0</v>
      </c>
      <c r="G36" s="580">
        <f>SUM(G37:G39)</f>
        <v>0</v>
      </c>
      <c r="H36" s="553">
        <f t="shared" si="3"/>
        <v>0</v>
      </c>
      <c r="I36" s="581"/>
      <c r="J36" s="582">
        <f>SUM(J37:J39)</f>
        <v>22000</v>
      </c>
      <c r="K36" s="583">
        <f>SUM(K37:K39)</f>
        <v>21800</v>
      </c>
      <c r="L36" s="553">
        <f t="shared" si="4"/>
        <v>200</v>
      </c>
      <c r="M36" s="492"/>
      <c r="N36" s="493"/>
      <c r="O36" s="584"/>
      <c r="P36" s="585">
        <f>SUM(P37:P39)</f>
        <v>143000</v>
      </c>
      <c r="Q36" s="586">
        <f>SUM(Q37:Q39)</f>
        <v>210700</v>
      </c>
      <c r="R36" s="587">
        <f t="shared" si="5"/>
        <v>-67700</v>
      </c>
      <c r="S36" s="488"/>
      <c r="T36" s="489"/>
    </row>
    <row r="37" spans="2:20" ht="15" customHeight="1">
      <c r="B37" s="537"/>
      <c r="C37" s="518"/>
      <c r="D37" s="558" t="s">
        <v>638</v>
      </c>
      <c r="E37" s="559"/>
      <c r="F37" s="588">
        <v>0</v>
      </c>
      <c r="G37" s="494">
        <v>0</v>
      </c>
      <c r="H37" s="562">
        <f t="shared" si="3"/>
        <v>0</v>
      </c>
      <c r="I37" s="589"/>
      <c r="J37" s="590">
        <v>16000</v>
      </c>
      <c r="K37" s="591">
        <v>15000</v>
      </c>
      <c r="L37" s="562">
        <f t="shared" si="4"/>
        <v>1000</v>
      </c>
      <c r="M37" s="488"/>
      <c r="N37" s="489"/>
      <c r="O37" s="511"/>
      <c r="P37" s="560">
        <v>104000</v>
      </c>
      <c r="Q37" s="561">
        <v>164000</v>
      </c>
      <c r="R37" s="592">
        <f t="shared" si="5"/>
        <v>-60000</v>
      </c>
      <c r="S37" s="488"/>
      <c r="T37" s="489"/>
    </row>
    <row r="38" spans="2:20" ht="15" customHeight="1">
      <c r="B38" s="537"/>
      <c r="C38" s="518"/>
      <c r="D38" s="558" t="s">
        <v>639</v>
      </c>
      <c r="E38" s="559"/>
      <c r="F38" s="588">
        <v>0</v>
      </c>
      <c r="G38" s="494">
        <v>0</v>
      </c>
      <c r="H38" s="562">
        <f t="shared" si="3"/>
        <v>0</v>
      </c>
      <c r="I38" s="589"/>
      <c r="J38" s="590">
        <v>6000</v>
      </c>
      <c r="K38" s="591">
        <v>6800</v>
      </c>
      <c r="L38" s="562">
        <f t="shared" si="4"/>
        <v>-800</v>
      </c>
      <c r="M38" s="488"/>
      <c r="N38" s="489"/>
      <c r="O38" s="511"/>
      <c r="P38" s="560">
        <v>39000</v>
      </c>
      <c r="Q38" s="561">
        <v>46700</v>
      </c>
      <c r="R38" s="592">
        <f t="shared" si="5"/>
        <v>-7700</v>
      </c>
      <c r="S38" s="488"/>
      <c r="T38" s="489"/>
    </row>
    <row r="39" spans="2:20" hidden="1">
      <c r="B39" s="537"/>
      <c r="C39" s="518"/>
      <c r="D39" s="594" t="s">
        <v>640</v>
      </c>
      <c r="E39" s="559"/>
      <c r="F39" s="588">
        <v>0</v>
      </c>
      <c r="G39" s="494">
        <v>0</v>
      </c>
      <c r="H39" s="562">
        <f t="shared" si="3"/>
        <v>0</v>
      </c>
      <c r="I39" s="589"/>
      <c r="J39" s="590">
        <v>0</v>
      </c>
      <c r="K39" s="591">
        <v>0</v>
      </c>
      <c r="L39" s="562">
        <f t="shared" si="4"/>
        <v>0</v>
      </c>
      <c r="M39" s="488"/>
      <c r="N39" s="489"/>
      <c r="O39" s="511"/>
      <c r="P39" s="560">
        <v>0</v>
      </c>
      <c r="Q39" s="561">
        <v>0</v>
      </c>
      <c r="R39" s="592">
        <f t="shared" si="5"/>
        <v>0</v>
      </c>
      <c r="S39" s="488"/>
      <c r="T39" s="489"/>
    </row>
    <row r="40" spans="2:20" ht="15" customHeight="1">
      <c r="B40" s="537" t="s">
        <v>641</v>
      </c>
      <c r="C40" s="518"/>
      <c r="D40" s="593"/>
      <c r="E40" s="578"/>
      <c r="F40" s="579">
        <f>SUM(F41:F46)</f>
        <v>72333.333333333328</v>
      </c>
      <c r="G40" s="580">
        <f>SUM(G41:G46)</f>
        <v>53037.666666666672</v>
      </c>
      <c r="H40" s="553">
        <f t="shared" si="3"/>
        <v>19295.666666666657</v>
      </c>
      <c r="I40" s="581"/>
      <c r="J40" s="582">
        <f>SUM(J41:J46)</f>
        <v>181800</v>
      </c>
      <c r="K40" s="583">
        <f>SUM(K41:K46)</f>
        <v>159199</v>
      </c>
      <c r="L40" s="553">
        <f t="shared" si="4"/>
        <v>22601</v>
      </c>
      <c r="M40" s="492"/>
      <c r="N40" s="493"/>
      <c r="O40" s="584"/>
      <c r="P40" s="585">
        <f>SUM(P41:P46)</f>
        <v>727200</v>
      </c>
      <c r="Q40" s="586">
        <f>SUM(Q41:Q46)</f>
        <v>656299</v>
      </c>
      <c r="R40" s="587">
        <f t="shared" si="5"/>
        <v>70901</v>
      </c>
      <c r="S40" s="492"/>
      <c r="T40" s="489"/>
    </row>
    <row r="41" spans="2:20" ht="15" customHeight="1">
      <c r="B41" s="537"/>
      <c r="C41" s="518"/>
      <c r="D41" s="558" t="s">
        <v>642</v>
      </c>
      <c r="E41" s="559"/>
      <c r="F41" s="595">
        <v>24800</v>
      </c>
      <c r="G41" s="596">
        <f>71018/3</f>
        <v>23672.666666666668</v>
      </c>
      <c r="H41" s="562">
        <f t="shared" si="3"/>
        <v>1127.3333333333321</v>
      </c>
      <c r="I41" s="589"/>
      <c r="J41" s="597">
        <v>80600</v>
      </c>
      <c r="K41" s="598">
        <v>71014</v>
      </c>
      <c r="L41" s="562">
        <f t="shared" si="4"/>
        <v>9586</v>
      </c>
      <c r="M41" s="492"/>
      <c r="N41" s="493"/>
      <c r="O41" s="584"/>
      <c r="P41" s="599">
        <v>322400</v>
      </c>
      <c r="Q41" s="561">
        <v>312814</v>
      </c>
      <c r="R41" s="600">
        <f t="shared" si="5"/>
        <v>9586</v>
      </c>
      <c r="S41" s="492"/>
      <c r="T41" s="493"/>
    </row>
    <row r="42" spans="2:20" ht="15" customHeight="1">
      <c r="B42" s="537"/>
      <c r="C42" s="518"/>
      <c r="D42" s="601" t="s">
        <v>643</v>
      </c>
      <c r="E42" s="602"/>
      <c r="F42" s="588">
        <v>1333.3333333333333</v>
      </c>
      <c r="G42" s="494">
        <f>2650/3</f>
        <v>883.33333333333337</v>
      </c>
      <c r="H42" s="562">
        <f t="shared" si="3"/>
        <v>449.99999999999989</v>
      </c>
      <c r="I42" s="603"/>
      <c r="J42" s="590">
        <v>4000</v>
      </c>
      <c r="K42" s="591">
        <v>2653</v>
      </c>
      <c r="L42" s="562">
        <f t="shared" si="4"/>
        <v>1347</v>
      </c>
      <c r="M42" s="488"/>
      <c r="N42" s="489"/>
      <c r="O42" s="511"/>
      <c r="P42" s="560">
        <v>16000</v>
      </c>
      <c r="Q42" s="561">
        <v>14653</v>
      </c>
      <c r="R42" s="604">
        <f t="shared" si="5"/>
        <v>1347</v>
      </c>
      <c r="S42" s="488"/>
      <c r="T42" s="489"/>
    </row>
    <row r="43" spans="2:20" ht="15" customHeight="1">
      <c r="B43" s="537"/>
      <c r="C43" s="518"/>
      <c r="D43" s="558" t="s">
        <v>644</v>
      </c>
      <c r="E43" s="559"/>
      <c r="F43" s="588">
        <v>2000</v>
      </c>
      <c r="G43" s="494">
        <f>8700/3</f>
        <v>2900</v>
      </c>
      <c r="H43" s="562">
        <f t="shared" si="3"/>
        <v>-900</v>
      </c>
      <c r="I43" s="589"/>
      <c r="J43" s="590">
        <v>6000</v>
      </c>
      <c r="K43" s="591">
        <v>8730</v>
      </c>
      <c r="L43" s="562">
        <f t="shared" si="4"/>
        <v>-2730</v>
      </c>
      <c r="M43" s="488"/>
      <c r="N43" s="489"/>
      <c r="O43" s="511"/>
      <c r="P43" s="560">
        <v>24000</v>
      </c>
      <c r="Q43" s="561">
        <v>26730</v>
      </c>
      <c r="R43" s="604">
        <f t="shared" si="5"/>
        <v>-2730</v>
      </c>
      <c r="S43" s="488"/>
      <c r="T43" s="489"/>
    </row>
    <row r="44" spans="2:20" ht="15" customHeight="1">
      <c r="B44" s="537"/>
      <c r="C44" s="518"/>
      <c r="D44" s="558" t="s">
        <v>645</v>
      </c>
      <c r="E44" s="559"/>
      <c r="F44" s="588">
        <v>25800</v>
      </c>
      <c r="G44" s="494">
        <f>33100/3</f>
        <v>11033.333333333334</v>
      </c>
      <c r="H44" s="562">
        <f t="shared" si="3"/>
        <v>14766.666666666666</v>
      </c>
      <c r="I44" s="589"/>
      <c r="J44" s="590">
        <v>31400</v>
      </c>
      <c r="K44" s="591">
        <v>33123</v>
      </c>
      <c r="L44" s="562">
        <f t="shared" si="4"/>
        <v>-1723</v>
      </c>
      <c r="M44" s="488"/>
      <c r="N44" s="489"/>
      <c r="O44" s="511"/>
      <c r="P44" s="560">
        <v>125600</v>
      </c>
      <c r="Q44" s="561">
        <v>127323</v>
      </c>
      <c r="R44" s="592">
        <f t="shared" si="5"/>
        <v>-1723</v>
      </c>
      <c r="S44" s="488"/>
      <c r="T44" s="489"/>
    </row>
    <row r="45" spans="2:20" hidden="1">
      <c r="B45" s="537"/>
      <c r="C45" s="518"/>
      <c r="D45" s="558" t="s">
        <v>138</v>
      </c>
      <c r="E45" s="559"/>
      <c r="F45" s="588">
        <v>0</v>
      </c>
      <c r="G45" s="494">
        <v>0</v>
      </c>
      <c r="H45" s="562">
        <f t="shared" si="3"/>
        <v>0</v>
      </c>
      <c r="I45" s="589"/>
      <c r="J45" s="590">
        <v>0</v>
      </c>
      <c r="K45" s="591">
        <v>0</v>
      </c>
      <c r="L45" s="562">
        <f t="shared" si="4"/>
        <v>0</v>
      </c>
      <c r="M45" s="488"/>
      <c r="N45" s="489"/>
      <c r="O45" s="511"/>
      <c r="P45" s="560">
        <v>0</v>
      </c>
      <c r="Q45" s="561">
        <v>0</v>
      </c>
      <c r="R45" s="592">
        <f t="shared" si="5"/>
        <v>0</v>
      </c>
      <c r="S45" s="488"/>
      <c r="T45" s="489"/>
    </row>
    <row r="46" spans="2:20" ht="15" customHeight="1">
      <c r="B46" s="537"/>
      <c r="C46" s="518"/>
      <c r="D46" s="558" t="s">
        <v>646</v>
      </c>
      <c r="E46" s="559"/>
      <c r="F46" s="588">
        <v>18400</v>
      </c>
      <c r="G46" s="494">
        <f>43645/3</f>
        <v>14548.333333333334</v>
      </c>
      <c r="H46" s="562">
        <f t="shared" si="3"/>
        <v>3851.6666666666661</v>
      </c>
      <c r="I46" s="589"/>
      <c r="J46" s="590">
        <v>59800</v>
      </c>
      <c r="K46" s="591">
        <v>43679</v>
      </c>
      <c r="L46" s="562">
        <f t="shared" si="4"/>
        <v>16121</v>
      </c>
      <c r="M46" s="488"/>
      <c r="N46" s="489"/>
      <c r="O46" s="511"/>
      <c r="P46" s="560">
        <v>239200</v>
      </c>
      <c r="Q46" s="561">
        <v>174779</v>
      </c>
      <c r="R46" s="592">
        <f t="shared" si="5"/>
        <v>64421</v>
      </c>
      <c r="S46" s="488"/>
      <c r="T46" s="489"/>
    </row>
    <row r="47" spans="2:20" ht="15" customHeight="1">
      <c r="B47" s="537" t="s">
        <v>647</v>
      </c>
      <c r="C47" s="518"/>
      <c r="D47" s="593"/>
      <c r="E47" s="578"/>
      <c r="F47" s="605">
        <f>SUM(F48:F50)</f>
        <v>19600</v>
      </c>
      <c r="G47" s="502">
        <f>SUM(G48:G50)</f>
        <v>22022.639999999999</v>
      </c>
      <c r="H47" s="553">
        <f t="shared" si="3"/>
        <v>-2422.6399999999994</v>
      </c>
      <c r="I47" s="581"/>
      <c r="J47" s="606">
        <f>SUM(J48:J50)</f>
        <v>27700</v>
      </c>
      <c r="K47" s="607">
        <f>SUM(K48:K50)</f>
        <v>37104.639999999999</v>
      </c>
      <c r="L47" s="553">
        <f t="shared" si="4"/>
        <v>-9404.64</v>
      </c>
      <c r="M47" s="488"/>
      <c r="N47" s="489"/>
      <c r="O47" s="511"/>
      <c r="P47" s="551">
        <f>SUM(P48:P50)</f>
        <v>108800</v>
      </c>
      <c r="Q47" s="552">
        <f>SUM(Q48:Q50)</f>
        <v>145021</v>
      </c>
      <c r="R47" s="608">
        <f t="shared" si="5"/>
        <v>-36221</v>
      </c>
      <c r="S47" s="488"/>
      <c r="T47" s="489"/>
    </row>
    <row r="48" spans="2:20" ht="15" customHeight="1">
      <c r="B48" s="537"/>
      <c r="C48" s="518"/>
      <c r="D48" s="558" t="s">
        <v>648</v>
      </c>
      <c r="E48" s="559"/>
      <c r="F48" s="595">
        <v>3600</v>
      </c>
      <c r="G48" s="596">
        <f>'September transactions'!D43</f>
        <v>20542.64</v>
      </c>
      <c r="H48" s="562">
        <f t="shared" si="3"/>
        <v>-16942.64</v>
      </c>
      <c r="I48" s="589"/>
      <c r="J48" s="597">
        <v>11700</v>
      </c>
      <c r="K48" s="598">
        <f>'Month 3 rv'!L39</f>
        <v>35624.639999999999</v>
      </c>
      <c r="L48" s="562">
        <f t="shared" si="4"/>
        <v>-23924.639999999999</v>
      </c>
      <c r="M48" s="492"/>
      <c r="N48" s="493"/>
      <c r="O48" s="584"/>
      <c r="P48" s="599">
        <v>46800</v>
      </c>
      <c r="Q48" s="561">
        <v>97541</v>
      </c>
      <c r="R48" s="600">
        <f t="shared" si="5"/>
        <v>-50741</v>
      </c>
      <c r="S48" s="492"/>
      <c r="T48" s="493"/>
    </row>
    <row r="49" spans="2:20" ht="15" customHeight="1">
      <c r="B49" s="537"/>
      <c r="C49" s="518"/>
      <c r="D49" s="558" t="s">
        <v>649</v>
      </c>
      <c r="E49" s="559"/>
      <c r="F49" s="588">
        <v>16000</v>
      </c>
      <c r="G49" s="494">
        <v>1480</v>
      </c>
      <c r="H49" s="562">
        <f t="shared" si="3"/>
        <v>14520</v>
      </c>
      <c r="I49" s="589"/>
      <c r="J49" s="590">
        <v>16000</v>
      </c>
      <c r="K49" s="591">
        <f>13400-11920</f>
        <v>1480</v>
      </c>
      <c r="L49" s="562">
        <f t="shared" si="4"/>
        <v>14520</v>
      </c>
      <c r="M49" s="488"/>
      <c r="N49" s="489"/>
      <c r="O49" s="511"/>
      <c r="P49" s="560">
        <v>32000</v>
      </c>
      <c r="Q49" s="561">
        <v>17480</v>
      </c>
      <c r="R49" s="609">
        <f t="shared" si="5"/>
        <v>14520</v>
      </c>
      <c r="S49" s="488"/>
      <c r="T49" s="489"/>
    </row>
    <row r="50" spans="2:20" ht="15" customHeight="1">
      <c r="B50" s="537"/>
      <c r="C50" s="518"/>
      <c r="D50" s="558" t="s">
        <v>650</v>
      </c>
      <c r="E50" s="559"/>
      <c r="F50" s="588">
        <v>0</v>
      </c>
      <c r="G50" s="494">
        <v>0</v>
      </c>
      <c r="H50" s="562">
        <f t="shared" si="3"/>
        <v>0</v>
      </c>
      <c r="I50" s="589"/>
      <c r="J50" s="590">
        <v>0</v>
      </c>
      <c r="K50" s="591">
        <v>0</v>
      </c>
      <c r="L50" s="562">
        <f t="shared" si="4"/>
        <v>0</v>
      </c>
      <c r="M50" s="488"/>
      <c r="N50" s="489"/>
      <c r="O50" s="511"/>
      <c r="P50" s="560">
        <v>30000</v>
      </c>
      <c r="Q50" s="561">
        <v>30000</v>
      </c>
      <c r="R50" s="609">
        <f t="shared" si="5"/>
        <v>0</v>
      </c>
      <c r="S50" s="488"/>
      <c r="T50" s="489"/>
    </row>
    <row r="51" spans="2:20" ht="15" customHeight="1">
      <c r="B51" s="537"/>
      <c r="C51" s="518"/>
      <c r="D51" s="527"/>
      <c r="E51" s="550"/>
      <c r="F51" s="579"/>
      <c r="G51" s="580"/>
      <c r="H51" s="562"/>
      <c r="I51" s="610"/>
      <c r="J51" s="582"/>
      <c r="K51" s="583"/>
      <c r="L51" s="562"/>
      <c r="M51" s="492"/>
      <c r="N51" s="493"/>
      <c r="O51" s="584"/>
      <c r="P51" s="585"/>
      <c r="Q51" s="586"/>
      <c r="R51" s="587"/>
      <c r="S51" s="488"/>
      <c r="T51" s="489"/>
    </row>
    <row r="52" spans="2:20" ht="15" customHeight="1">
      <c r="B52" s="537" t="s">
        <v>651</v>
      </c>
      <c r="D52" s="577"/>
      <c r="E52" s="578"/>
      <c r="F52" s="579">
        <f>+F53+F54</f>
        <v>36300</v>
      </c>
      <c r="G52" s="580">
        <f>+G53+G54</f>
        <v>38478.333333333336</v>
      </c>
      <c r="H52" s="553">
        <f t="shared" ref="H52:H54" si="6">F52-G52</f>
        <v>-2178.3333333333358</v>
      </c>
      <c r="I52" s="581"/>
      <c r="J52" s="582">
        <f>+J53+J54</f>
        <v>108900</v>
      </c>
      <c r="K52" s="583">
        <f>+K53+K54</f>
        <v>115378</v>
      </c>
      <c r="L52" s="553">
        <f t="shared" si="4"/>
        <v>-6478</v>
      </c>
      <c r="M52" s="492"/>
      <c r="N52" s="493"/>
      <c r="O52" s="584"/>
      <c r="P52" s="585">
        <f>+P53+P54</f>
        <v>435600</v>
      </c>
      <c r="Q52" s="586">
        <f>+Q53+Q54</f>
        <v>442078</v>
      </c>
      <c r="R52" s="587">
        <f t="shared" si="5"/>
        <v>-6478</v>
      </c>
      <c r="S52" s="488"/>
      <c r="T52" s="489"/>
    </row>
    <row r="53" spans="2:20" ht="15" customHeight="1">
      <c r="B53" s="537"/>
      <c r="C53" s="518"/>
      <c r="D53" s="558" t="s">
        <v>652</v>
      </c>
      <c r="E53" s="559"/>
      <c r="F53" s="595">
        <v>34666.666666666664</v>
      </c>
      <c r="G53" s="596">
        <f>110500/3</f>
        <v>36833.333333333336</v>
      </c>
      <c r="H53" s="562">
        <f t="shared" si="6"/>
        <v>-2166.6666666666715</v>
      </c>
      <c r="I53" s="589"/>
      <c r="J53" s="597">
        <v>104000</v>
      </c>
      <c r="K53" s="598">
        <v>110502</v>
      </c>
      <c r="L53" s="562">
        <f t="shared" si="4"/>
        <v>-6502</v>
      </c>
      <c r="M53" s="492"/>
      <c r="N53" s="493"/>
      <c r="O53" s="584"/>
      <c r="P53" s="599">
        <v>416000</v>
      </c>
      <c r="Q53" s="561">
        <v>422502</v>
      </c>
      <c r="R53" s="600">
        <f t="shared" si="5"/>
        <v>-6502</v>
      </c>
      <c r="S53" s="488"/>
      <c r="T53" s="489"/>
    </row>
    <row r="54" spans="2:20" ht="15" customHeight="1">
      <c r="B54" s="537"/>
      <c r="C54" s="518"/>
      <c r="D54" s="558" t="s">
        <v>653</v>
      </c>
      <c r="E54" s="559"/>
      <c r="F54" s="595">
        <v>1633.3333333333333</v>
      </c>
      <c r="G54" s="596">
        <v>1645</v>
      </c>
      <c r="H54" s="562">
        <f t="shared" si="6"/>
        <v>-11.666666666666742</v>
      </c>
      <c r="I54" s="589"/>
      <c r="J54" s="597">
        <v>4900</v>
      </c>
      <c r="K54" s="598">
        <v>4876</v>
      </c>
      <c r="L54" s="562">
        <f t="shared" si="4"/>
        <v>24</v>
      </c>
      <c r="M54" s="488"/>
      <c r="N54" s="489"/>
      <c r="O54" s="611"/>
      <c r="P54" s="599">
        <v>19600</v>
      </c>
      <c r="Q54" s="561">
        <v>19576</v>
      </c>
      <c r="R54" s="600">
        <f t="shared" si="5"/>
        <v>24</v>
      </c>
      <c r="S54" s="488"/>
      <c r="T54" s="489"/>
    </row>
    <row r="55" spans="2:20" ht="15" customHeight="1">
      <c r="B55" s="526"/>
      <c r="D55" s="612"/>
      <c r="F55" s="585"/>
      <c r="G55" s="586"/>
      <c r="H55" s="562"/>
      <c r="I55" s="496"/>
      <c r="J55" s="582"/>
      <c r="K55" s="583"/>
      <c r="L55" s="562"/>
      <c r="M55" s="492"/>
      <c r="N55" s="493"/>
      <c r="O55" s="584"/>
      <c r="P55" s="585"/>
      <c r="Q55" s="586"/>
      <c r="R55" s="587"/>
      <c r="S55" s="488"/>
      <c r="T55" s="489"/>
    </row>
    <row r="56" spans="2:20" ht="15" customHeight="1">
      <c r="B56" s="541" t="s">
        <v>654</v>
      </c>
      <c r="D56" s="612"/>
      <c r="F56" s="613">
        <f>F32+F36+F40+F47+F52</f>
        <v>141162.66964337497</v>
      </c>
      <c r="G56" s="614">
        <f>G32+G36+G40+G47+G52</f>
        <v>126139.97333333333</v>
      </c>
      <c r="H56" s="574">
        <f>H17+H20+H32+H36+H40+H47+H52</f>
        <v>14760.364272181614</v>
      </c>
      <c r="I56" s="496"/>
      <c r="J56" s="613">
        <f>J32+J36+J40+J47+J52</f>
        <v>366388.00893012498</v>
      </c>
      <c r="K56" s="614">
        <f>K32+K36+K40+K47+K52</f>
        <v>358158.64</v>
      </c>
      <c r="L56" s="574">
        <f>L17+L20+L32+L36+L40+L47+L52</f>
        <v>7481.4186058157466</v>
      </c>
      <c r="M56" s="492"/>
      <c r="N56" s="493"/>
      <c r="O56" s="584"/>
      <c r="P56" s="613">
        <f>P32+P36+P40+P47+P52</f>
        <v>1518552.0357204999</v>
      </c>
      <c r="Q56" s="614">
        <f>Q32+Q36+Q40+Q47+Q52</f>
        <v>1556739.0267903749</v>
      </c>
      <c r="R56" s="615">
        <f>R17+R20+R32+R36+R40+R47+R52</f>
        <v>-38934.941394184178</v>
      </c>
      <c r="S56" s="488"/>
      <c r="T56" s="489"/>
    </row>
    <row r="57" spans="2:20" ht="15" customHeight="1">
      <c r="B57" s="526"/>
      <c r="D57" s="612"/>
      <c r="F57" s="560"/>
      <c r="G57" s="561"/>
      <c r="H57" s="562"/>
      <c r="I57" s="496"/>
      <c r="J57" s="590"/>
      <c r="K57" s="591"/>
      <c r="L57" s="562"/>
      <c r="M57" s="488"/>
      <c r="N57" s="489"/>
      <c r="O57" s="511"/>
      <c r="P57" s="560"/>
      <c r="Q57" s="561"/>
      <c r="R57" s="592"/>
      <c r="S57" s="488"/>
      <c r="T57" s="489"/>
    </row>
    <row r="58" spans="2:20" ht="15" customHeight="1">
      <c r="B58" s="616" t="s">
        <v>655</v>
      </c>
      <c r="C58" s="617"/>
      <c r="D58" s="618"/>
      <c r="F58" s="619">
        <f>-F56-F26</f>
        <v>-180904.06886570374</v>
      </c>
      <c r="G58" s="620">
        <f>-G56-G26</f>
        <v>-166132.24447948718</v>
      </c>
      <c r="H58" s="621">
        <f>-F58+G58</f>
        <v>14771.824386216555</v>
      </c>
      <c r="I58" s="496"/>
      <c r="J58" s="619">
        <f>-J56-J26</f>
        <v>-488261.63321193319</v>
      </c>
      <c r="K58" s="620">
        <f>-K56-K26</f>
        <v>-480747.54000000004</v>
      </c>
      <c r="L58" s="621">
        <f>-J58+K58</f>
        <v>7514.0932119331555</v>
      </c>
      <c r="M58" s="488"/>
      <c r="N58" s="489"/>
      <c r="O58" s="511"/>
      <c r="P58" s="619">
        <f>-P56-P26</f>
        <v>-2002072.3929254999</v>
      </c>
      <c r="Q58" s="620">
        <f>-Q56-Q26</f>
        <v>-2040974.6597135665</v>
      </c>
      <c r="R58" s="622">
        <f>-P58+Q58</f>
        <v>-38902.266788066598</v>
      </c>
      <c r="S58" s="488"/>
      <c r="T58" s="489"/>
    </row>
    <row r="59" spans="2:20" ht="14">
      <c r="J59" s="504"/>
      <c r="K59" s="504"/>
      <c r="L59" s="504"/>
      <c r="M59" s="505"/>
      <c r="N59" s="506"/>
      <c r="O59" s="507"/>
      <c r="P59" s="504"/>
      <c r="Q59" s="504"/>
      <c r="R59" s="504"/>
      <c r="S59" s="508"/>
      <c r="T59" s="509"/>
    </row>
    <row r="60" spans="2:20">
      <c r="J60" s="510"/>
      <c r="K60" s="510"/>
      <c r="L60" s="510"/>
      <c r="M60" s="510"/>
      <c r="N60" s="510"/>
      <c r="O60" s="511"/>
      <c r="P60" s="510"/>
      <c r="Q60" s="510"/>
      <c r="R60" s="510"/>
      <c r="S60" s="510"/>
      <c r="T60" s="510"/>
    </row>
    <row r="61" spans="2:20" ht="14">
      <c r="J61" s="510"/>
      <c r="K61" s="510"/>
      <c r="L61" s="510"/>
      <c r="M61" s="508"/>
      <c r="N61" s="509"/>
      <c r="O61" s="511"/>
      <c r="P61" s="510"/>
      <c r="Q61" s="510"/>
      <c r="R61" s="510"/>
      <c r="S61" s="508"/>
      <c r="T61" s="509"/>
    </row>
    <row r="62" spans="2:20" ht="14">
      <c r="J62" s="510"/>
      <c r="K62" s="510"/>
      <c r="L62" s="510"/>
      <c r="M62" s="512"/>
      <c r="N62" s="513"/>
      <c r="O62" s="514"/>
      <c r="P62" s="510"/>
      <c r="Q62" s="510"/>
      <c r="R62" s="510"/>
      <c r="S62" s="512"/>
      <c r="T62" s="513"/>
    </row>
    <row r="63" spans="2:20" ht="14">
      <c r="J63" s="510"/>
      <c r="K63" s="510"/>
      <c r="L63" s="510"/>
      <c r="M63" s="508"/>
      <c r="N63" s="515"/>
      <c r="O63" s="514"/>
      <c r="P63" s="510"/>
      <c r="Q63" s="510"/>
      <c r="R63" s="510"/>
      <c r="S63" s="508"/>
      <c r="T63" s="515"/>
    </row>
    <row r="64" spans="2:20" ht="14">
      <c r="J64" s="510"/>
      <c r="K64" s="510"/>
      <c r="L64" s="510"/>
      <c r="M64" s="512"/>
      <c r="N64" s="515"/>
      <c r="O64" s="514"/>
      <c r="P64" s="510"/>
      <c r="Q64" s="510"/>
      <c r="R64" s="510"/>
      <c r="S64" s="512"/>
      <c r="T64" s="515"/>
    </row>
    <row r="65" spans="10:20" ht="14">
      <c r="J65" s="510"/>
      <c r="K65" s="510"/>
      <c r="L65" s="510"/>
      <c r="M65" s="512"/>
      <c r="N65" s="515"/>
      <c r="O65" s="514"/>
      <c r="P65" s="510"/>
      <c r="Q65" s="510"/>
      <c r="R65" s="510"/>
      <c r="S65" s="512"/>
      <c r="T65" s="515"/>
    </row>
    <row r="66" spans="10:20" ht="14">
      <c r="J66" s="510"/>
      <c r="K66" s="510"/>
      <c r="L66" s="510"/>
      <c r="M66" s="508"/>
      <c r="N66" s="509"/>
      <c r="O66" s="511"/>
      <c r="P66" s="510"/>
      <c r="Q66" s="510"/>
      <c r="R66" s="510"/>
      <c r="S66" s="508"/>
      <c r="T66" s="509"/>
    </row>
    <row r="67" spans="10:20" ht="14">
      <c r="J67" s="510"/>
      <c r="K67" s="510"/>
      <c r="L67" s="510"/>
      <c r="M67" s="508"/>
      <c r="N67" s="509"/>
      <c r="O67" s="511"/>
      <c r="P67" s="510"/>
      <c r="Q67" s="510"/>
      <c r="R67" s="510"/>
      <c r="S67" s="508"/>
      <c r="T67" s="509"/>
    </row>
    <row r="68" spans="10:20" ht="14">
      <c r="J68" s="510"/>
      <c r="K68" s="510"/>
      <c r="L68" s="510"/>
      <c r="M68" s="512"/>
      <c r="N68" s="515"/>
      <c r="O68" s="514"/>
      <c r="P68" s="510"/>
      <c r="Q68" s="510"/>
      <c r="R68" s="510"/>
      <c r="S68" s="512"/>
      <c r="T68" s="515"/>
    </row>
    <row r="69" spans="10:20" ht="14">
      <c r="J69" s="516"/>
      <c r="K69" s="516"/>
      <c r="L69" s="516"/>
      <c r="M69" s="508"/>
      <c r="N69" s="515"/>
      <c r="O69" s="623"/>
      <c r="P69" s="516"/>
      <c r="Q69" s="516"/>
      <c r="R69" s="516"/>
      <c r="S69" s="508"/>
      <c r="T69" s="515"/>
    </row>
    <row r="70" spans="10:20" ht="14">
      <c r="J70" s="510"/>
      <c r="K70" s="510"/>
      <c r="L70" s="623"/>
      <c r="M70" s="512"/>
      <c r="N70" s="515"/>
      <c r="O70" s="623"/>
      <c r="P70" s="510"/>
      <c r="Q70" s="510"/>
      <c r="R70" s="623"/>
      <c r="S70" s="512"/>
      <c r="T70" s="515"/>
    </row>
  </sheetData>
  <mergeCells count="3">
    <mergeCell ref="F6:H6"/>
    <mergeCell ref="J6:L6"/>
    <mergeCell ref="P6:R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1888BF4-5F2F-2840-80EA-926C09095ABB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M17:M27</xm:sqref>
        </x14:conditionalFormatting>
        <x14:conditionalFormatting xmlns:xm="http://schemas.microsoft.com/office/excel/2006/main">
          <x14:cfRule type="iconSet" priority="8" id="{5CC8B87A-7CED-B247-A06A-FBCB97B2E249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M61 M32:M59</xm:sqref>
        </x14:conditionalFormatting>
        <x14:conditionalFormatting xmlns:xm="http://schemas.microsoft.com/office/excel/2006/main">
          <x14:cfRule type="iconSet" priority="4" id="{30E3DF18-5347-B14F-8AD2-05D0EDD2FB3E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M63</xm:sqref>
        </x14:conditionalFormatting>
        <x14:conditionalFormatting xmlns:xm="http://schemas.microsoft.com/office/excel/2006/main">
          <x14:cfRule type="iconSet" priority="5" id="{F348656F-DDE4-8C4F-997B-78F1F30EDB7E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M66:M67</xm:sqref>
        </x14:conditionalFormatting>
        <x14:conditionalFormatting xmlns:xm="http://schemas.microsoft.com/office/excel/2006/main">
          <x14:cfRule type="iconSet" priority="9" id="{9C07E54D-E932-8441-9CFF-B681A9FB867B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M68 M70 M62 M64:M65 M28:M29</xm:sqref>
        </x14:conditionalFormatting>
        <x14:conditionalFormatting xmlns:xm="http://schemas.microsoft.com/office/excel/2006/main">
          <x14:cfRule type="iconSet" priority="2" id="{462A982D-A009-8049-B7E2-29160D590FD6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M69</xm:sqref>
        </x14:conditionalFormatting>
        <x14:conditionalFormatting xmlns:xm="http://schemas.microsoft.com/office/excel/2006/main">
          <x14:cfRule type="iconSet" priority="11" id="{7815725D-C559-9A45-AF76-CA4DD3BEBDD3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S17:S27</xm:sqref>
        </x14:conditionalFormatting>
        <x14:conditionalFormatting xmlns:xm="http://schemas.microsoft.com/office/excel/2006/main">
          <x14:cfRule type="iconSet" priority="13" id="{5EF72BF4-0F53-6048-87BC-653EEDEBB170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S32:S59</xm:sqref>
        </x14:conditionalFormatting>
        <x14:conditionalFormatting xmlns:xm="http://schemas.microsoft.com/office/excel/2006/main">
          <x14:cfRule type="iconSet" priority="7" id="{B06DB29B-0FCE-8A4D-825B-BE87C32DA954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S61</xm:sqref>
        </x14:conditionalFormatting>
        <x14:conditionalFormatting xmlns:xm="http://schemas.microsoft.com/office/excel/2006/main">
          <x14:cfRule type="iconSet" priority="3" id="{BC5F8A8D-3C6E-1441-B948-343349054537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S63</xm:sqref>
        </x14:conditionalFormatting>
        <x14:conditionalFormatting xmlns:xm="http://schemas.microsoft.com/office/excel/2006/main">
          <x14:cfRule type="iconSet" priority="6" id="{D1CC4711-2394-9F46-BA31-B221B62C5DF3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S66:S67</xm:sqref>
        </x14:conditionalFormatting>
        <x14:conditionalFormatting xmlns:xm="http://schemas.microsoft.com/office/excel/2006/main">
          <x14:cfRule type="iconSet" priority="10" id="{C5C435C3-3CFB-2347-A120-414CC1BA3E87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S68 S70 S62 S64:S65 S28:S29</xm:sqref>
        </x14:conditionalFormatting>
        <x14:conditionalFormatting xmlns:xm="http://schemas.microsoft.com/office/excel/2006/main">
          <x14:cfRule type="iconSet" priority="1" id="{4EDD284D-5A8D-8941-B968-F3E1A36349B4}">
            <x14:iconSet iconSet="3Symbols2" custom="1">
              <x14:cfvo type="percent">
                <xm:f>0</xm:f>
              </x14:cfvo>
              <x14:cfvo type="num" gte="0">
                <xm:f>5</xm:f>
              </x14:cfvo>
              <x14:cfvo type="num" gte="0">
                <xm:f>10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S69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9"/>
  <sheetViews>
    <sheetView showGridLines="0" workbookViewId="0">
      <selection activeCell="A3" sqref="A3:K53"/>
    </sheetView>
  </sheetViews>
  <sheetFormatPr baseColWidth="10" defaultColWidth="8.83203125" defaultRowHeight="13"/>
  <cols>
    <col min="2" max="2" width="29.1640625" customWidth="1"/>
    <col min="3" max="3" width="10.6640625" hidden="1" customWidth="1"/>
    <col min="4" max="4" width="1.6640625" customWidth="1"/>
    <col min="5" max="5" width="12.6640625" style="142" customWidth="1"/>
    <col min="6" max="7" width="12.6640625" customWidth="1"/>
    <col min="8" max="8" width="1.6640625" customWidth="1"/>
    <col min="9" max="9" width="12.6640625" hidden="1" customWidth="1"/>
    <col min="10" max="10" width="7" customWidth="1"/>
    <col min="11" max="11" width="12.6640625" customWidth="1"/>
    <col min="12" max="12" width="1.6640625" customWidth="1"/>
    <col min="13" max="13" width="12.6640625" customWidth="1"/>
    <col min="14" max="14" width="14.5" bestFit="1" customWidth="1"/>
    <col min="15" max="15" width="1.6640625" customWidth="1"/>
    <col min="16" max="16" width="10.6640625" customWidth="1"/>
  </cols>
  <sheetData>
    <row r="1" spans="1:16" ht="18">
      <c r="A1" s="81"/>
      <c r="E1" s="220" t="s">
        <v>339</v>
      </c>
      <c r="F1" s="220"/>
      <c r="G1" s="220"/>
      <c r="H1" s="220"/>
      <c r="I1" s="220"/>
      <c r="J1" s="220"/>
      <c r="K1" s="220"/>
      <c r="N1" s="692" t="s">
        <v>298</v>
      </c>
      <c r="O1" s="692"/>
      <c r="P1" s="692"/>
    </row>
    <row r="3" spans="1:16" ht="33">
      <c r="E3" s="220" t="s">
        <v>323</v>
      </c>
      <c r="F3" s="220"/>
      <c r="G3" s="220"/>
      <c r="H3" s="220"/>
      <c r="I3" s="220"/>
      <c r="J3" s="220"/>
      <c r="K3" s="220"/>
      <c r="N3" s="691"/>
      <c r="O3" s="691"/>
      <c r="P3" s="691"/>
    </row>
    <row r="5" spans="1:16">
      <c r="C5" s="224"/>
      <c r="D5" s="2"/>
      <c r="E5" s="228" t="s">
        <v>94</v>
      </c>
      <c r="F5" s="226" t="s">
        <v>95</v>
      </c>
      <c r="G5" s="226" t="s">
        <v>322</v>
      </c>
      <c r="H5" s="73"/>
      <c r="I5" s="73"/>
      <c r="J5" s="73"/>
      <c r="K5" s="226" t="s">
        <v>291</v>
      </c>
      <c r="L5" s="2"/>
      <c r="M5" s="135"/>
      <c r="N5" s="135"/>
      <c r="O5" s="135"/>
      <c r="P5" s="135"/>
    </row>
    <row r="6" spans="1:16" ht="14" thickBot="1">
      <c r="C6" s="180"/>
      <c r="D6" s="2"/>
      <c r="E6" s="228" t="s">
        <v>321</v>
      </c>
      <c r="F6" s="226" t="s">
        <v>321</v>
      </c>
      <c r="G6" s="226" t="s">
        <v>321</v>
      </c>
      <c r="H6" s="73"/>
      <c r="I6" s="73"/>
      <c r="J6" s="73"/>
      <c r="K6" s="226" t="s">
        <v>289</v>
      </c>
      <c r="L6" s="2"/>
      <c r="M6" s="135"/>
      <c r="N6" s="135"/>
      <c r="O6" s="135"/>
      <c r="P6" s="135"/>
    </row>
    <row r="7" spans="1:16" hidden="1"/>
    <row r="8" spans="1:16" hidden="1">
      <c r="A8" s="67" t="s">
        <v>340</v>
      </c>
    </row>
    <row r="9" spans="1:16" hidden="1">
      <c r="A9" s="67"/>
    </row>
    <row r="10" spans="1:16" ht="14" hidden="1">
      <c r="A10" s="141" t="s">
        <v>341</v>
      </c>
    </row>
    <row r="11" spans="1:16" ht="14" hidden="1">
      <c r="A11" s="141" t="s">
        <v>342</v>
      </c>
    </row>
    <row r="12" spans="1:16" ht="14">
      <c r="A12" s="141" t="s">
        <v>451</v>
      </c>
    </row>
    <row r="13" spans="1:16" s="144" customFormat="1" ht="12">
      <c r="A13" s="144" t="s">
        <v>349</v>
      </c>
      <c r="C13" s="144">
        <v>0</v>
      </c>
      <c r="E13" s="145">
        <f>'Month 1 rv'!I14</f>
        <v>1359.6653977871465</v>
      </c>
      <c r="F13" s="145">
        <f>'Month 2 rv'!I14</f>
        <v>569.33559009483724</v>
      </c>
      <c r="G13" s="145">
        <f>'Month 3 rv'!I14</f>
        <v>-955.77830611170066</v>
      </c>
      <c r="I13" s="145"/>
      <c r="J13" s="145"/>
      <c r="K13" s="145">
        <f>'Month 3 rv'!M14</f>
        <v>973.22268177029036</v>
      </c>
      <c r="M13" s="145"/>
      <c r="N13" s="145"/>
      <c r="P13" s="145"/>
    </row>
    <row r="14" spans="1:16" s="144" customFormat="1" ht="12">
      <c r="A14" s="144" t="s">
        <v>350</v>
      </c>
      <c r="C14" s="144">
        <v>0</v>
      </c>
      <c r="E14" s="145">
        <f>'Month 1 rv'!I15</f>
        <v>0</v>
      </c>
      <c r="F14" s="145">
        <f>'Month 2 rv'!I15</f>
        <v>0</v>
      </c>
      <c r="G14" s="145">
        <f>'Month 3 rv'!I15</f>
        <v>0</v>
      </c>
      <c r="I14" s="145"/>
      <c r="J14" s="145"/>
      <c r="K14" s="145">
        <f>'Month 3 rv'!M15</f>
        <v>0</v>
      </c>
      <c r="M14" s="145"/>
      <c r="N14" s="145"/>
      <c r="P14" s="145"/>
    </row>
    <row r="15" spans="1:16" s="144" customFormat="1">
      <c r="A15" s="2" t="s">
        <v>343</v>
      </c>
      <c r="E15" s="164">
        <f>SUM(E13:E14)</f>
        <v>1359.6653977871465</v>
      </c>
      <c r="F15" s="164">
        <f>SUM(F13:F14)</f>
        <v>569.33559009483724</v>
      </c>
      <c r="G15" s="164">
        <f>SUM(G13:G14)</f>
        <v>-955.77830611170066</v>
      </c>
      <c r="I15" s="145"/>
      <c r="J15" s="145"/>
      <c r="K15" s="164">
        <f>SUM(K13:K14)</f>
        <v>973.22268177029036</v>
      </c>
      <c r="M15" s="145"/>
      <c r="N15" s="145"/>
      <c r="P15" s="145"/>
    </row>
    <row r="16" spans="1:16" s="144" customFormat="1" ht="12">
      <c r="E16" s="145"/>
      <c r="F16" s="145"/>
      <c r="G16" s="145"/>
      <c r="I16" s="145"/>
      <c r="J16" s="145"/>
      <c r="K16" s="145"/>
      <c r="M16" s="145"/>
      <c r="N16" s="145"/>
      <c r="P16" s="145"/>
    </row>
    <row r="17" spans="1:16">
      <c r="A17" s="152" t="s">
        <v>344</v>
      </c>
    </row>
    <row r="18" spans="1:16" s="144" customFormat="1" ht="12">
      <c r="A18" s="144" t="s">
        <v>351</v>
      </c>
      <c r="C18" s="144">
        <v>0</v>
      </c>
      <c r="E18" s="145">
        <f>'Month 1 rv'!I19</f>
        <v>111.49367755532148</v>
      </c>
      <c r="F18" s="145">
        <f>'Month 2 rv'!I19</f>
        <v>46.685985247629105</v>
      </c>
      <c r="G18" s="145">
        <f>'Month 3 rv'!I19</f>
        <v>-78.374604847207593</v>
      </c>
      <c r="I18" s="145"/>
      <c r="J18" s="145"/>
      <c r="K18" s="145">
        <f>'Month 3 rv'!M19</f>
        <v>79.805057955743905</v>
      </c>
      <c r="M18" s="145"/>
      <c r="N18" s="145"/>
      <c r="P18" s="145"/>
    </row>
    <row r="19" spans="1:16" s="144" customFormat="1" ht="12">
      <c r="A19" s="144" t="s">
        <v>352</v>
      </c>
      <c r="C19" s="144">
        <v>0</v>
      </c>
      <c r="E19" s="145">
        <f>'Month 1 rv'!I20</f>
        <v>57.976712328767235</v>
      </c>
      <c r="F19" s="145">
        <f>'Month 2 rv'!I20</f>
        <v>24.276712328767189</v>
      </c>
      <c r="G19" s="145">
        <f>'Month 3 rv'!I20</f>
        <v>-40.754794520548103</v>
      </c>
      <c r="I19" s="145"/>
      <c r="J19" s="145"/>
      <c r="K19" s="145">
        <f>'Month 3 rv'!M20</f>
        <v>41.498630136987231</v>
      </c>
      <c r="M19" s="145"/>
      <c r="N19" s="145"/>
      <c r="P19" s="145"/>
    </row>
    <row r="20" spans="1:16" s="144" customFormat="1" ht="12">
      <c r="A20" s="144" t="s">
        <v>357</v>
      </c>
      <c r="C20" s="144">
        <v>0</v>
      </c>
      <c r="E20" s="145">
        <f>'Month 1 rv'!I21</f>
        <v>79.717979452054806</v>
      </c>
      <c r="F20" s="145">
        <f>'Month 2 rv'!I21</f>
        <v>33.38047945205517</v>
      </c>
      <c r="G20" s="145">
        <f>'Month 3 rv'!I21</f>
        <v>-56.037842465753783</v>
      </c>
      <c r="I20" s="145"/>
      <c r="J20" s="145"/>
      <c r="K20" s="145">
        <f>'Month 3 rv'!M21</f>
        <v>57.060616438357101</v>
      </c>
      <c r="M20" s="145"/>
      <c r="N20" s="145"/>
      <c r="P20" s="145"/>
    </row>
    <row r="21" spans="1:16" s="144" customFormat="1" ht="12">
      <c r="A21" s="144" t="s">
        <v>353</v>
      </c>
      <c r="C21" s="144">
        <v>0</v>
      </c>
      <c r="E21" s="145">
        <f>'Month 1 rv'!I22</f>
        <v>130.44760273972634</v>
      </c>
      <c r="F21" s="145">
        <f>'Month 2 rv'!I22</f>
        <v>54.622602739726062</v>
      </c>
      <c r="G21" s="145">
        <f>'Month 3 rv'!I22</f>
        <v>-91.698287671233174</v>
      </c>
      <c r="I21" s="145"/>
      <c r="J21" s="145"/>
      <c r="K21" s="145">
        <f>'Month 3 rv'!M22</f>
        <v>93.371917808221042</v>
      </c>
      <c r="M21" s="145"/>
      <c r="N21" s="145"/>
      <c r="P21" s="145"/>
    </row>
    <row r="22" spans="1:16" s="144" customFormat="1">
      <c r="A22"/>
      <c r="E22" s="145"/>
      <c r="F22" s="145"/>
      <c r="G22" s="145"/>
      <c r="I22" s="145"/>
      <c r="J22" s="145"/>
      <c r="K22" s="145"/>
      <c r="M22" s="145"/>
      <c r="N22" s="145"/>
      <c r="P22" s="145"/>
    </row>
    <row r="23" spans="1:16" s="144" customFormat="1">
      <c r="A23" s="2" t="s">
        <v>345</v>
      </c>
      <c r="E23" s="164">
        <f>SUM(E18:E21)</f>
        <v>379.63597207586986</v>
      </c>
      <c r="F23" s="164">
        <f>SUM(F18:F21)</f>
        <v>158.96577976817753</v>
      </c>
      <c r="G23" s="164">
        <f>SUM(G18:G21)</f>
        <v>-266.86552950474265</v>
      </c>
      <c r="I23" s="145"/>
      <c r="J23" s="145"/>
      <c r="K23" s="164">
        <f>SUM(K18:K21)</f>
        <v>271.73622233930928</v>
      </c>
      <c r="M23" s="145"/>
      <c r="N23" s="145"/>
      <c r="P23" s="145"/>
    </row>
    <row r="24" spans="1:16" s="144" customFormat="1" ht="12">
      <c r="E24" s="145"/>
      <c r="F24" s="145"/>
      <c r="G24" s="145"/>
      <c r="I24" s="145"/>
      <c r="J24" s="145"/>
      <c r="K24" s="145"/>
      <c r="M24" s="145"/>
      <c r="N24" s="145"/>
      <c r="P24" s="145"/>
    </row>
    <row r="25" spans="1:16">
      <c r="A25" s="342" t="s">
        <v>452</v>
      </c>
      <c r="B25" s="343"/>
      <c r="C25" s="342">
        <f>SUM(C13:C21)</f>
        <v>0</v>
      </c>
      <c r="D25" s="343"/>
      <c r="E25" s="344">
        <f>E15+E23</f>
        <v>1739.3013698630164</v>
      </c>
      <c r="F25" s="344">
        <f>F15+F23</f>
        <v>728.30136986301477</v>
      </c>
      <c r="G25" s="344">
        <f>G15+G23</f>
        <v>-1222.6438356164433</v>
      </c>
      <c r="H25" s="343"/>
      <c r="I25" s="344"/>
      <c r="J25" s="344"/>
      <c r="K25" s="344">
        <f>K15+K23</f>
        <v>1244.9589041095996</v>
      </c>
      <c r="M25" s="143"/>
      <c r="N25" s="143"/>
      <c r="P25" s="143"/>
    </row>
    <row r="27" spans="1:16" hidden="1">
      <c r="E27" s="223" t="s">
        <v>94</v>
      </c>
      <c r="F27" s="221" t="s">
        <v>95</v>
      </c>
      <c r="G27" s="221" t="s">
        <v>322</v>
      </c>
      <c r="H27" s="73"/>
      <c r="I27" s="73"/>
      <c r="J27" s="73"/>
      <c r="K27" s="221" t="s">
        <v>291</v>
      </c>
    </row>
    <row r="28" spans="1:16" hidden="1">
      <c r="E28" s="223" t="s">
        <v>321</v>
      </c>
      <c r="F28" s="221" t="s">
        <v>321</v>
      </c>
      <c r="G28" s="221" t="s">
        <v>321</v>
      </c>
      <c r="H28" s="73"/>
      <c r="I28" s="73"/>
      <c r="J28" s="73"/>
      <c r="K28" s="221" t="s">
        <v>289</v>
      </c>
    </row>
    <row r="29" spans="1:16" ht="14">
      <c r="A29" s="141" t="s">
        <v>453</v>
      </c>
    </row>
    <row r="30" spans="1:16">
      <c r="A30" s="2" t="s">
        <v>376</v>
      </c>
    </row>
    <row r="31" spans="1:16" s="144" customFormat="1" ht="12">
      <c r="A31" s="144" t="s">
        <v>360</v>
      </c>
      <c r="C31" s="144">
        <v>0</v>
      </c>
      <c r="E31" s="145">
        <f>'Month 1 rv'!I32</f>
        <v>0</v>
      </c>
      <c r="F31" s="145">
        <f>'Month 2 rv'!I32</f>
        <v>-250</v>
      </c>
      <c r="G31" s="145">
        <f>'Month 3 rv'!I32</f>
        <v>0</v>
      </c>
      <c r="H31" s="145"/>
      <c r="I31" s="145"/>
      <c r="J31" s="145"/>
      <c r="K31" s="145">
        <f>'Month 3 rv'!M32</f>
        <v>-250</v>
      </c>
      <c r="L31" s="145"/>
      <c r="M31" s="145"/>
      <c r="N31" s="145"/>
      <c r="O31" s="145"/>
      <c r="P31" s="145"/>
    </row>
    <row r="32" spans="1:16" s="144" customFormat="1" ht="12">
      <c r="A32" s="144" t="s">
        <v>361</v>
      </c>
      <c r="C32" s="144">
        <v>0</v>
      </c>
      <c r="E32" s="145">
        <f>'Month 1 rv'!I33</f>
        <v>-165.83333333333303</v>
      </c>
      <c r="F32" s="145">
        <f>'Month 2 rv'!I33</f>
        <v>-474.83333333333303</v>
      </c>
      <c r="G32" s="145">
        <f>'Month 3 rv'!I33</f>
        <v>734.16666666666697</v>
      </c>
      <c r="H32" s="145"/>
      <c r="I32" s="145"/>
      <c r="J32" s="145"/>
      <c r="K32" s="145">
        <f>'Month 3 rv'!M33</f>
        <v>93.5</v>
      </c>
      <c r="L32" s="145"/>
      <c r="M32" s="145"/>
      <c r="N32" s="145"/>
      <c r="O32" s="145"/>
      <c r="P32" s="145"/>
    </row>
    <row r="33" spans="1:16" s="144" customFormat="1" ht="12">
      <c r="A33" s="144" t="s">
        <v>362</v>
      </c>
      <c r="C33" s="144">
        <v>0</v>
      </c>
      <c r="E33" s="145">
        <f>'Month 1 rv'!I34</f>
        <v>2006</v>
      </c>
      <c r="F33" s="145">
        <f>'Month 2 rv'!I34</f>
        <v>-167</v>
      </c>
      <c r="G33" s="145">
        <f>'Month 3 rv'!I34</f>
        <v>-1740</v>
      </c>
      <c r="H33" s="145"/>
      <c r="I33" s="145"/>
      <c r="J33" s="145"/>
      <c r="K33" s="145">
        <f>'Month 3 rv'!M34</f>
        <v>99</v>
      </c>
      <c r="L33" s="145"/>
      <c r="M33" s="145"/>
      <c r="N33" s="145"/>
      <c r="O33" s="145"/>
      <c r="P33" s="145"/>
    </row>
    <row r="34" spans="1:16" s="144" customFormat="1" ht="12">
      <c r="A34" s="144" t="s">
        <v>363</v>
      </c>
      <c r="C34" s="144">
        <v>0</v>
      </c>
      <c r="E34" s="145">
        <f>'Month 1 rv'!I35</f>
        <v>-289</v>
      </c>
      <c r="F34" s="145">
        <f>'Month 2 rv'!I35</f>
        <v>-345</v>
      </c>
      <c r="G34" s="145">
        <f>'Month 3 rv'!I35</f>
        <v>-1757</v>
      </c>
      <c r="H34" s="145"/>
      <c r="I34" s="145"/>
      <c r="J34" s="145"/>
      <c r="K34" s="145">
        <f>'Month 3 rv'!M35</f>
        <v>-2391</v>
      </c>
      <c r="L34" s="145"/>
      <c r="M34" s="145"/>
      <c r="N34" s="145"/>
      <c r="O34" s="145"/>
      <c r="P34" s="145"/>
    </row>
    <row r="35" spans="1:16" s="144" customFormat="1" ht="12">
      <c r="A35" s="144" t="s">
        <v>359</v>
      </c>
      <c r="C35" s="144">
        <v>0</v>
      </c>
      <c r="E35" s="145">
        <f>'Month 1 rv'!I36</f>
        <v>-402</v>
      </c>
      <c r="F35" s="145">
        <f>'Month 2 rv'!I36</f>
        <v>-13021</v>
      </c>
      <c r="G35" s="145">
        <f>'Month 3 rv'!I36</f>
        <v>17967</v>
      </c>
      <c r="H35" s="145"/>
      <c r="I35" s="145"/>
      <c r="J35" s="145"/>
      <c r="K35" s="145">
        <f>'Month 3 rv'!M36</f>
        <v>4544</v>
      </c>
      <c r="L35" s="145"/>
      <c r="M35" s="145"/>
      <c r="N35" s="145"/>
      <c r="O35" s="145"/>
      <c r="P35" s="145"/>
    </row>
    <row r="36" spans="1:16" s="144" customFormat="1" ht="12">
      <c r="A36" s="144" t="s">
        <v>432</v>
      </c>
      <c r="E36" s="145">
        <f>'Month 1 rv'!I37</f>
        <v>0</v>
      </c>
      <c r="F36" s="145">
        <f>'Month 2 rv'!I37</f>
        <v>-788.26666666666279</v>
      </c>
      <c r="G36" s="145">
        <f>'Month 3 rv'!I37</f>
        <v>0</v>
      </c>
      <c r="H36" s="145"/>
      <c r="I36" s="145"/>
      <c r="J36" s="145"/>
      <c r="K36" s="145">
        <f>'Month 3 rv'!M37</f>
        <v>-788.26666666666279</v>
      </c>
      <c r="L36" s="145"/>
      <c r="M36" s="145"/>
      <c r="N36" s="145"/>
      <c r="O36" s="145"/>
      <c r="P36" s="145"/>
    </row>
    <row r="37" spans="1:16" s="144" customFormat="1" ht="12">
      <c r="A37" s="144" t="s">
        <v>427</v>
      </c>
      <c r="C37" s="144">
        <v>0</v>
      </c>
      <c r="E37" s="145">
        <f>'Month 1 rv'!I38</f>
        <v>3000</v>
      </c>
      <c r="F37" s="145">
        <f>'Month 2 rv'!I38</f>
        <v>3000</v>
      </c>
      <c r="G37" s="145">
        <f>'Month 3 rv'!I38</f>
        <v>7880</v>
      </c>
      <c r="H37" s="145"/>
      <c r="I37" s="145"/>
      <c r="J37" s="145"/>
      <c r="K37" s="145">
        <f>'Month 3 rv'!M38</f>
        <v>13880</v>
      </c>
      <c r="L37" s="145"/>
      <c r="M37" s="145"/>
      <c r="N37" s="145"/>
      <c r="O37" s="145"/>
      <c r="P37" s="145"/>
    </row>
    <row r="38" spans="1:16" s="144" customFormat="1" ht="12">
      <c r="A38" s="144" t="s">
        <v>358</v>
      </c>
      <c r="C38" s="144">
        <v>0</v>
      </c>
      <c r="E38" s="145">
        <f>'Month 1 rv'!I39</f>
        <v>-3981</v>
      </c>
      <c r="F38" s="145">
        <f>'Month 2 rv'!I39</f>
        <v>-3901</v>
      </c>
      <c r="G38" s="145">
        <f>'Month 3 rv'!I39</f>
        <v>-16042.64</v>
      </c>
      <c r="H38" s="145"/>
      <c r="I38" s="145"/>
      <c r="J38" s="145"/>
      <c r="K38" s="145">
        <f>'Month 3 rv'!M39</f>
        <v>-23924.639999999999</v>
      </c>
      <c r="L38" s="145"/>
      <c r="M38" s="145"/>
      <c r="N38" s="145"/>
      <c r="O38" s="145"/>
      <c r="P38" s="145"/>
    </row>
    <row r="39" spans="1:16" s="144" customFormat="1" ht="12">
      <c r="A39" s="144" t="s">
        <v>364</v>
      </c>
      <c r="C39" s="144">
        <v>0</v>
      </c>
      <c r="E39" s="145">
        <f>'Month 1 rv'!I40</f>
        <v>-2319</v>
      </c>
      <c r="F39" s="145">
        <f>'Month 2 rv'!I40</f>
        <v>3880</v>
      </c>
      <c r="G39" s="145">
        <f>'Month 3 rv'!I40</f>
        <v>-10236</v>
      </c>
      <c r="H39" s="145"/>
      <c r="I39" s="145"/>
      <c r="J39" s="145"/>
      <c r="K39" s="145">
        <f>'Month 3 rv'!M40</f>
        <v>-8675</v>
      </c>
      <c r="L39" s="145"/>
      <c r="M39" s="145"/>
      <c r="N39" s="145"/>
      <c r="O39" s="145"/>
      <c r="P39" s="145"/>
    </row>
    <row r="40" spans="1:16" s="144" customFormat="1" ht="12">
      <c r="A40" s="144" t="s">
        <v>365</v>
      </c>
      <c r="C40" s="144">
        <v>0</v>
      </c>
      <c r="E40" s="145">
        <f>'Month 1 rv'!I41</f>
        <v>-1253.6666666666661</v>
      </c>
      <c r="F40" s="145">
        <f>'Month 2 rv'!I41</f>
        <v>-156.66666666666606</v>
      </c>
      <c r="G40" s="145">
        <f>'Month 3 rv'!I41</f>
        <v>1142.3333333333358</v>
      </c>
      <c r="H40" s="145"/>
      <c r="I40" s="145"/>
      <c r="J40" s="145"/>
      <c r="K40" s="145">
        <f>'Month 3 rv'!M41</f>
        <v>-268</v>
      </c>
      <c r="L40" s="145"/>
      <c r="M40" s="145"/>
      <c r="N40" s="145"/>
      <c r="O40" s="145"/>
      <c r="P40" s="145"/>
    </row>
    <row r="41" spans="1:16">
      <c r="A41" s="2" t="s">
        <v>293</v>
      </c>
      <c r="C41" s="2">
        <f>SUM(C31:C40)</f>
        <v>0</v>
      </c>
      <c r="E41" s="143">
        <f>SUM(E31:E40)</f>
        <v>-3404.4999999999991</v>
      </c>
      <c r="F41" s="143">
        <f>SUM(F31:F40)</f>
        <v>-12223.766666666661</v>
      </c>
      <c r="G41" s="143">
        <f>SUM(G31:G40)</f>
        <v>-2052.1399999999958</v>
      </c>
      <c r="H41" s="143"/>
      <c r="I41" s="143"/>
      <c r="J41" s="143"/>
      <c r="K41" s="143">
        <f>SUM(K31:K40)</f>
        <v>-17680.406666666662</v>
      </c>
      <c r="L41" s="142"/>
      <c r="M41" s="143"/>
      <c r="N41" s="143"/>
      <c r="O41" s="142"/>
      <c r="P41" s="143"/>
    </row>
    <row r="42" spans="1:16">
      <c r="E42"/>
    </row>
    <row r="43" spans="1:16">
      <c r="A43" s="2" t="s">
        <v>9</v>
      </c>
      <c r="E43"/>
    </row>
    <row r="44" spans="1:16">
      <c r="A44" t="s">
        <v>367</v>
      </c>
      <c r="C44" s="144">
        <v>0</v>
      </c>
      <c r="D44" s="144"/>
      <c r="E44" s="145">
        <f>'Month 1 rv'!I45</f>
        <v>3.0000000006111804E-3</v>
      </c>
      <c r="F44" s="145">
        <f>'Month 2 rv'!I45</f>
        <v>3.0000000006111804E-3</v>
      </c>
      <c r="G44" s="145">
        <f>'Month 3 rv'!I45</f>
        <v>3.0000000006111804E-3</v>
      </c>
      <c r="K44" s="145">
        <v>0</v>
      </c>
    </row>
    <row r="45" spans="1:16">
      <c r="A45" s="2" t="s">
        <v>338</v>
      </c>
      <c r="C45" s="2">
        <f>C44</f>
        <v>0</v>
      </c>
      <c r="E45" s="143">
        <f>E44</f>
        <v>3.0000000006111804E-3</v>
      </c>
      <c r="F45" s="143">
        <f>F44</f>
        <v>3.0000000006111804E-3</v>
      </c>
      <c r="G45" s="143">
        <f>G44</f>
        <v>3.0000000006111804E-3</v>
      </c>
      <c r="K45" s="143">
        <f>K44</f>
        <v>0</v>
      </c>
    </row>
    <row r="46" spans="1:16">
      <c r="E46"/>
    </row>
    <row r="47" spans="1:16">
      <c r="A47" s="2" t="s">
        <v>354</v>
      </c>
      <c r="E47"/>
    </row>
    <row r="48" spans="1:16" s="144" customFormat="1" ht="12">
      <c r="A48" s="144" t="s">
        <v>366</v>
      </c>
      <c r="C48" s="144">
        <v>0</v>
      </c>
      <c r="E48" s="145">
        <f>'Month 1 rv'!I49</f>
        <v>0</v>
      </c>
      <c r="F48" s="145">
        <f>'Month 2 rv'!I49</f>
        <v>0</v>
      </c>
      <c r="G48" s="145">
        <f>'Month 3 rv'!I49</f>
        <v>0</v>
      </c>
      <c r="I48" s="145"/>
      <c r="J48" s="145"/>
      <c r="K48" s="145">
        <f>'Month 3 rv'!M49</f>
        <v>0</v>
      </c>
      <c r="M48" s="145"/>
      <c r="N48" s="145"/>
      <c r="P48" s="145"/>
    </row>
    <row r="49" spans="1:16">
      <c r="A49" s="2" t="s">
        <v>355</v>
      </c>
      <c r="C49" s="14">
        <f>C48</f>
        <v>0</v>
      </c>
      <c r="D49" s="14"/>
      <c r="E49" s="143">
        <f>E48</f>
        <v>0</v>
      </c>
      <c r="F49" s="143">
        <f>F48</f>
        <v>0</v>
      </c>
      <c r="G49" s="143">
        <f>G48</f>
        <v>0</v>
      </c>
      <c r="I49" s="143"/>
      <c r="J49" s="143"/>
      <c r="K49" s="143">
        <f>K48</f>
        <v>0</v>
      </c>
      <c r="M49" s="143"/>
      <c r="N49" s="143"/>
      <c r="P49" s="143"/>
    </row>
    <row r="50" spans="1:16">
      <c r="E50"/>
    </row>
    <row r="51" spans="1:16" ht="14">
      <c r="A51" s="355" t="s">
        <v>448</v>
      </c>
      <c r="B51" s="343"/>
      <c r="C51" s="344">
        <f>C49+C41</f>
        <v>0</v>
      </c>
      <c r="D51" s="344"/>
      <c r="E51" s="344">
        <f>E49+E41</f>
        <v>-3404.4999999999991</v>
      </c>
      <c r="F51" s="344">
        <f>F49+F41</f>
        <v>-12223.766666666661</v>
      </c>
      <c r="G51" s="344">
        <f>G49+G41</f>
        <v>-2052.1399999999958</v>
      </c>
      <c r="H51" s="343"/>
      <c r="I51" s="344"/>
      <c r="J51" s="344"/>
      <c r="K51" s="344">
        <f>K49+K41</f>
        <v>-17680.406666666662</v>
      </c>
      <c r="M51" s="143"/>
      <c r="N51" s="143"/>
      <c r="P51" s="143"/>
    </row>
    <row r="52" spans="1:16">
      <c r="E52"/>
    </row>
    <row r="53" spans="1:16" ht="15" thickBot="1">
      <c r="A53" s="356" t="s">
        <v>449</v>
      </c>
      <c r="B53" s="348"/>
      <c r="C53" s="349">
        <f>C51+D25</f>
        <v>0</v>
      </c>
      <c r="D53" s="349"/>
      <c r="E53" s="349">
        <f>E25+E51</f>
        <v>-1665.1986301369827</v>
      </c>
      <c r="F53" s="349">
        <f>F25+F51</f>
        <v>-11495.465296803646</v>
      </c>
      <c r="G53" s="349">
        <f>G25+G51</f>
        <v>-3274.7838356164393</v>
      </c>
      <c r="H53" s="348"/>
      <c r="I53" s="349"/>
      <c r="J53" s="349"/>
      <c r="K53" s="349">
        <f>K25+K51</f>
        <v>-16435.447762557062</v>
      </c>
      <c r="M53" s="143"/>
      <c r="N53" s="143"/>
      <c r="P53" s="143"/>
    </row>
    <row r="54" spans="1:16" ht="14" thickTop="1">
      <c r="C54" s="142"/>
      <c r="D54" s="142"/>
      <c r="F54" s="142"/>
      <c r="G54" s="142"/>
      <c r="I54" s="142"/>
      <c r="J54" s="142"/>
      <c r="K54" s="142"/>
      <c r="M54" s="142"/>
      <c r="N54" s="142"/>
      <c r="P54" s="142"/>
    </row>
    <row r="55" spans="1:16">
      <c r="C55" s="142"/>
      <c r="D55" s="142"/>
      <c r="E55" s="228" t="s">
        <v>94</v>
      </c>
      <c r="F55" s="226" t="s">
        <v>95</v>
      </c>
      <c r="G55" s="226" t="s">
        <v>322</v>
      </c>
      <c r="H55" s="73"/>
      <c r="I55" s="73"/>
      <c r="J55" s="73"/>
      <c r="K55" s="226" t="s">
        <v>291</v>
      </c>
      <c r="M55" s="142"/>
      <c r="N55" s="142"/>
      <c r="P55" s="142"/>
    </row>
    <row r="56" spans="1:16">
      <c r="C56" s="142"/>
      <c r="D56" s="142"/>
      <c r="E56" s="228" t="s">
        <v>321</v>
      </c>
      <c r="F56" s="226" t="s">
        <v>321</v>
      </c>
      <c r="G56" s="226" t="s">
        <v>321</v>
      </c>
      <c r="H56" s="73"/>
      <c r="I56" s="73"/>
      <c r="J56" s="73"/>
      <c r="K56" s="226" t="s">
        <v>289</v>
      </c>
      <c r="M56" s="142"/>
      <c r="N56" s="142"/>
      <c r="P56" s="142"/>
    </row>
    <row r="57" spans="1:16">
      <c r="C57" s="142"/>
      <c r="D57" s="142"/>
      <c r="F57" s="142"/>
      <c r="G57" s="142"/>
      <c r="I57" s="142"/>
      <c r="J57" s="142"/>
      <c r="K57" s="142"/>
      <c r="M57" s="142"/>
      <c r="N57" s="142"/>
      <c r="P57" s="142"/>
    </row>
    <row r="58" spans="1:16">
      <c r="A58" s="2" t="s">
        <v>297</v>
      </c>
      <c r="B58" s="2"/>
      <c r="C58" s="143">
        <f>C53</f>
        <v>0</v>
      </c>
      <c r="D58" s="143"/>
      <c r="E58" s="143">
        <f>E53</f>
        <v>-1665.1986301369827</v>
      </c>
      <c r="F58" s="143">
        <f>F53</f>
        <v>-11495.465296803646</v>
      </c>
      <c r="G58" s="143">
        <f>G53</f>
        <v>-3274.7838356164393</v>
      </c>
      <c r="I58" s="143"/>
      <c r="J58" s="143"/>
      <c r="K58" s="143">
        <f>K53</f>
        <v>-16435.447762557062</v>
      </c>
      <c r="M58" s="143"/>
      <c r="N58" s="143"/>
      <c r="P58" s="143"/>
    </row>
    <row r="59" spans="1:16">
      <c r="A59" s="2" t="s">
        <v>356</v>
      </c>
      <c r="B59" s="2"/>
    </row>
  </sheetData>
  <mergeCells count="2">
    <mergeCell ref="N1:P1"/>
    <mergeCell ref="N3:P3"/>
  </mergeCells>
  <phoneticPr fontId="0" type="noConversion"/>
  <pageMargins left="0.75" right="0.75" top="1" bottom="1" header="0.3" footer="0.3"/>
  <pageSetup paperSize="9" orientation="portrait" horizontalDpi="4294967292" verticalDpi="429496729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41"/>
  <sheetViews>
    <sheetView workbookViewId="0">
      <selection activeCell="K55" sqref="K55:V55"/>
    </sheetView>
  </sheetViews>
  <sheetFormatPr baseColWidth="10" defaultColWidth="8.83203125" defaultRowHeight="13"/>
  <cols>
    <col min="1" max="1" width="3.5" style="80" customWidth="1"/>
    <col min="2" max="2" width="6.33203125" customWidth="1"/>
    <col min="3" max="3" width="28" style="60" customWidth="1"/>
    <col min="4" max="4" width="9.1640625" style="13" customWidth="1"/>
    <col min="5" max="5" width="9.1640625" style="5" customWidth="1"/>
    <col min="6" max="6" width="21.1640625" customWidth="1"/>
    <col min="7" max="7" width="33" bestFit="1" customWidth="1"/>
  </cols>
  <sheetData>
    <row r="1" spans="1:8" ht="16">
      <c r="A1" s="684" t="s">
        <v>206</v>
      </c>
      <c r="B1" s="684"/>
      <c r="C1" s="684"/>
      <c r="D1" s="684"/>
      <c r="E1" s="684"/>
      <c r="F1" s="684"/>
      <c r="G1" s="684"/>
    </row>
    <row r="2" spans="1:8" ht="16">
      <c r="A2" s="8"/>
      <c r="B2" s="8"/>
      <c r="C2" s="8"/>
      <c r="D2" s="8"/>
      <c r="E2" s="8"/>
      <c r="F2" s="8"/>
      <c r="G2" s="8"/>
    </row>
    <row r="3" spans="1:8">
      <c r="D3" s="14" t="s">
        <v>199</v>
      </c>
      <c r="E3" s="2" t="s">
        <v>200</v>
      </c>
      <c r="F3" s="2" t="s">
        <v>201</v>
      </c>
      <c r="G3" s="2" t="s">
        <v>202</v>
      </c>
      <c r="H3" s="2" t="s">
        <v>256</v>
      </c>
    </row>
    <row r="4" spans="1:8">
      <c r="A4" s="2" t="s">
        <v>203</v>
      </c>
      <c r="C4" s="80" t="s">
        <v>204</v>
      </c>
    </row>
    <row r="5" spans="1:8">
      <c r="B5" s="144" t="s">
        <v>283</v>
      </c>
    </row>
    <row r="6" spans="1:8">
      <c r="C6" s="60" t="s">
        <v>207</v>
      </c>
      <c r="D6" s="13">
        <v>1300</v>
      </c>
      <c r="G6" s="81" t="s">
        <v>219</v>
      </c>
    </row>
    <row r="7" spans="1:8">
      <c r="C7" s="60" t="s">
        <v>210</v>
      </c>
      <c r="D7" s="13">
        <v>1013</v>
      </c>
      <c r="G7" s="81" t="s">
        <v>219</v>
      </c>
    </row>
    <row r="8" spans="1:8">
      <c r="C8" s="60" t="s">
        <v>211</v>
      </c>
      <c r="D8" s="13">
        <v>1620</v>
      </c>
      <c r="G8" s="81" t="s">
        <v>219</v>
      </c>
    </row>
    <row r="9" spans="1:8">
      <c r="C9" s="60" t="s">
        <v>212</v>
      </c>
      <c r="D9" s="13">
        <v>1500</v>
      </c>
      <c r="G9" s="81" t="s">
        <v>219</v>
      </c>
    </row>
    <row r="10" spans="1:8">
      <c r="C10" s="60" t="s">
        <v>208</v>
      </c>
      <c r="D10" s="13">
        <v>1200</v>
      </c>
      <c r="G10" s="81" t="s">
        <v>219</v>
      </c>
    </row>
    <row r="11" spans="1:8">
      <c r="C11" s="60" t="s">
        <v>213</v>
      </c>
      <c r="D11" s="13">
        <v>987</v>
      </c>
      <c r="G11" s="81" t="s">
        <v>219</v>
      </c>
    </row>
    <row r="12" spans="1:8">
      <c r="C12" s="60" t="s">
        <v>214</v>
      </c>
      <c r="D12" s="13">
        <v>1920</v>
      </c>
      <c r="G12" s="81" t="s">
        <v>219</v>
      </c>
    </row>
    <row r="13" spans="1:8">
      <c r="C13" s="60" t="s">
        <v>215</v>
      </c>
      <c r="D13" s="13">
        <v>1109</v>
      </c>
      <c r="G13" s="81" t="s">
        <v>219</v>
      </c>
    </row>
    <row r="14" spans="1:8">
      <c r="C14" s="60" t="s">
        <v>209</v>
      </c>
      <c r="D14" s="13">
        <v>1010</v>
      </c>
      <c r="G14" s="81" t="s">
        <v>219</v>
      </c>
    </row>
    <row r="15" spans="1:8">
      <c r="C15" s="60" t="s">
        <v>217</v>
      </c>
      <c r="D15" s="13">
        <v>986</v>
      </c>
      <c r="G15" s="81" t="s">
        <v>219</v>
      </c>
    </row>
    <row r="16" spans="1:8">
      <c r="C16" s="60" t="s">
        <v>218</v>
      </c>
      <c r="D16" s="13">
        <v>1402</v>
      </c>
      <c r="G16" s="81" t="s">
        <v>219</v>
      </c>
    </row>
    <row r="17" spans="2:7">
      <c r="C17" s="60" t="s">
        <v>216</v>
      </c>
      <c r="D17" s="13">
        <v>876</v>
      </c>
      <c r="G17" s="81" t="s">
        <v>219</v>
      </c>
    </row>
    <row r="19" spans="2:7" ht="14">
      <c r="B19" s="144" t="s">
        <v>284</v>
      </c>
      <c r="F19" s="84" t="s">
        <v>254</v>
      </c>
      <c r="G19" s="84" t="s">
        <v>255</v>
      </c>
    </row>
    <row r="20" spans="2:7">
      <c r="C20" s="60" t="s">
        <v>220</v>
      </c>
      <c r="D20" s="13">
        <f>F20*G20</f>
        <v>336</v>
      </c>
      <c r="F20">
        <v>240</v>
      </c>
      <c r="G20" s="82">
        <v>1.4</v>
      </c>
    </row>
    <row r="21" spans="2:7">
      <c r="C21" s="60" t="s">
        <v>221</v>
      </c>
      <c r="D21" s="13">
        <f t="shared" ref="D21:D39" si="0">F21*G21</f>
        <v>214.5</v>
      </c>
      <c r="F21">
        <v>165</v>
      </c>
      <c r="G21" s="82">
        <v>1.3</v>
      </c>
    </row>
    <row r="22" spans="2:7">
      <c r="C22" s="60" t="s">
        <v>222</v>
      </c>
      <c r="D22" s="13">
        <f t="shared" si="0"/>
        <v>546</v>
      </c>
      <c r="F22">
        <v>390</v>
      </c>
      <c r="G22" s="82">
        <v>1.4</v>
      </c>
    </row>
    <row r="23" spans="2:7">
      <c r="C23" s="60" t="s">
        <v>223</v>
      </c>
      <c r="D23" s="13">
        <f t="shared" si="0"/>
        <v>292.56</v>
      </c>
      <c r="F23">
        <v>212</v>
      </c>
      <c r="G23" s="82">
        <v>1.38</v>
      </c>
    </row>
    <row r="24" spans="2:7">
      <c r="C24" s="60" t="s">
        <v>224</v>
      </c>
      <c r="D24" s="13">
        <f t="shared" si="0"/>
        <v>394.76</v>
      </c>
      <c r="F24">
        <v>278</v>
      </c>
      <c r="G24" s="82">
        <v>1.42</v>
      </c>
    </row>
    <row r="25" spans="2:7">
      <c r="C25" s="60" t="s">
        <v>225</v>
      </c>
      <c r="D25" s="13">
        <f t="shared" si="0"/>
        <v>280.85000000000002</v>
      </c>
      <c r="F25">
        <v>205</v>
      </c>
      <c r="G25" s="82">
        <v>1.37</v>
      </c>
    </row>
    <row r="26" spans="2:7">
      <c r="C26" s="60" t="s">
        <v>226</v>
      </c>
      <c r="D26" s="13">
        <f t="shared" si="0"/>
        <v>230.09</v>
      </c>
      <c r="F26">
        <v>173</v>
      </c>
      <c r="G26" s="82">
        <v>1.33</v>
      </c>
    </row>
    <row r="27" spans="2:7">
      <c r="C27" s="60" t="s">
        <v>227</v>
      </c>
      <c r="D27" s="13">
        <f t="shared" si="0"/>
        <v>203</v>
      </c>
      <c r="F27">
        <v>140</v>
      </c>
      <c r="G27" s="82">
        <v>1.45</v>
      </c>
    </row>
    <row r="28" spans="2:7">
      <c r="C28" s="60" t="s">
        <v>228</v>
      </c>
      <c r="D28" s="13">
        <f t="shared" si="0"/>
        <v>462.3</v>
      </c>
      <c r="F28">
        <v>345</v>
      </c>
      <c r="G28" s="82">
        <v>1.34</v>
      </c>
    </row>
    <row r="29" spans="2:7">
      <c r="C29" s="60" t="s">
        <v>243</v>
      </c>
      <c r="D29" s="13">
        <f t="shared" si="0"/>
        <v>171.6</v>
      </c>
      <c r="F29">
        <v>120</v>
      </c>
      <c r="G29" s="82">
        <v>1.43</v>
      </c>
    </row>
    <row r="30" spans="2:7">
      <c r="C30" s="60" t="s">
        <v>244</v>
      </c>
      <c r="D30" s="13">
        <f t="shared" si="0"/>
        <v>504.59999999999997</v>
      </c>
      <c r="E30"/>
      <c r="F30">
        <v>348</v>
      </c>
      <c r="G30" s="82">
        <v>1.45</v>
      </c>
    </row>
    <row r="31" spans="2:7">
      <c r="C31" s="60" t="s">
        <v>245</v>
      </c>
      <c r="D31" s="13">
        <f t="shared" si="0"/>
        <v>396.10999999999996</v>
      </c>
      <c r="E31"/>
      <c r="F31">
        <v>277</v>
      </c>
      <c r="G31" s="82">
        <v>1.43</v>
      </c>
    </row>
    <row r="32" spans="2:7">
      <c r="C32" s="60" t="s">
        <v>246</v>
      </c>
      <c r="D32" s="13">
        <f t="shared" si="0"/>
        <v>304.5</v>
      </c>
      <c r="E32"/>
      <c r="F32">
        <v>210</v>
      </c>
      <c r="G32" s="82">
        <v>1.45</v>
      </c>
    </row>
    <row r="33" spans="3:7">
      <c r="C33" s="60" t="s">
        <v>247</v>
      </c>
      <c r="D33" s="13">
        <f t="shared" si="0"/>
        <v>214.5</v>
      </c>
      <c r="E33"/>
      <c r="F33">
        <v>165</v>
      </c>
      <c r="G33" s="82">
        <v>1.3</v>
      </c>
    </row>
    <row r="34" spans="3:7">
      <c r="C34" s="60" t="s">
        <v>248</v>
      </c>
      <c r="D34" s="13">
        <f t="shared" si="0"/>
        <v>161.20000000000002</v>
      </c>
      <c r="F34">
        <v>124</v>
      </c>
      <c r="G34" s="82">
        <v>1.3</v>
      </c>
    </row>
    <row r="35" spans="3:7">
      <c r="C35" s="60" t="s">
        <v>249</v>
      </c>
      <c r="D35" s="13">
        <f t="shared" si="0"/>
        <v>352.8</v>
      </c>
      <c r="F35">
        <v>245</v>
      </c>
      <c r="G35" s="82">
        <v>1.44</v>
      </c>
    </row>
    <row r="36" spans="3:7">
      <c r="C36" s="60" t="s">
        <v>250</v>
      </c>
      <c r="D36" s="13">
        <f t="shared" si="0"/>
        <v>406.12</v>
      </c>
      <c r="F36">
        <v>286</v>
      </c>
      <c r="G36" s="82">
        <v>1.42</v>
      </c>
    </row>
    <row r="37" spans="3:7">
      <c r="C37" s="60" t="s">
        <v>251</v>
      </c>
      <c r="D37" s="13">
        <f t="shared" si="0"/>
        <v>573.12</v>
      </c>
      <c r="F37">
        <v>398</v>
      </c>
      <c r="G37" s="82">
        <v>1.44</v>
      </c>
    </row>
    <row r="38" spans="3:7">
      <c r="C38" s="60" t="s">
        <v>252</v>
      </c>
      <c r="D38" s="13">
        <f t="shared" si="0"/>
        <v>248.88000000000002</v>
      </c>
      <c r="F38">
        <v>183</v>
      </c>
      <c r="G38" s="82">
        <v>1.36</v>
      </c>
    </row>
    <row r="39" spans="3:7">
      <c r="C39" s="60" t="s">
        <v>253</v>
      </c>
      <c r="D39" s="13">
        <f t="shared" si="0"/>
        <v>208.49999999999997</v>
      </c>
      <c r="F39">
        <v>150</v>
      </c>
      <c r="G39" s="82">
        <v>1.39</v>
      </c>
    </row>
    <row r="41" spans="3:7">
      <c r="D41" s="13">
        <f>SUM(D20:D40)</f>
        <v>6501.9900000000007</v>
      </c>
    </row>
  </sheetData>
  <mergeCells count="1">
    <mergeCell ref="A1:G1"/>
  </mergeCells>
  <phoneticPr fontId="16" type="noConversion"/>
  <pageMargins left="0.75" right="0.75" top="1" bottom="1" header="0.3" footer="0.3"/>
  <pageSetup paperSize="9" orientation="portrait" horizontalDpi="0" verticalDpi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6"/>
  <sheetViews>
    <sheetView topLeftCell="C1" workbookViewId="0">
      <selection activeCell="N3" sqref="N3:P4"/>
    </sheetView>
  </sheetViews>
  <sheetFormatPr baseColWidth="10" defaultColWidth="8.83203125" defaultRowHeight="13"/>
  <cols>
    <col min="2" max="2" width="29.1640625" customWidth="1"/>
    <col min="3" max="3" width="10.6640625" customWidth="1"/>
    <col min="4" max="4" width="1.6640625" customWidth="1"/>
    <col min="5" max="5" width="12.6640625" style="142" customWidth="1"/>
    <col min="6" max="7" width="12.6640625" customWidth="1"/>
    <col min="8" max="8" width="1.6640625" customWidth="1"/>
    <col min="9" max="11" width="12.6640625" customWidth="1"/>
    <col min="12" max="12" width="1.6640625" customWidth="1"/>
    <col min="13" max="13" width="12.6640625" customWidth="1"/>
    <col min="14" max="14" width="14.5" bestFit="1" customWidth="1"/>
    <col min="15" max="15" width="1.6640625" customWidth="1"/>
    <col min="16" max="16" width="10.6640625" customWidth="1"/>
  </cols>
  <sheetData>
    <row r="1" spans="1:16" ht="18">
      <c r="A1" s="151" t="s">
        <v>301</v>
      </c>
      <c r="E1" s="721" t="s">
        <v>299</v>
      </c>
      <c r="F1" s="721"/>
      <c r="G1" s="721"/>
      <c r="H1" s="721"/>
      <c r="I1" s="721"/>
      <c r="J1" s="721"/>
      <c r="K1" s="721"/>
      <c r="N1" s="692" t="s">
        <v>298</v>
      </c>
      <c r="O1" s="692"/>
      <c r="P1" s="692"/>
    </row>
    <row r="2" spans="1:16">
      <c r="A2" s="150" t="s">
        <v>277</v>
      </c>
    </row>
    <row r="3" spans="1:16" ht="18">
      <c r="A3" s="150" t="s">
        <v>278</v>
      </c>
      <c r="E3" s="721" t="s">
        <v>300</v>
      </c>
      <c r="F3" s="721"/>
      <c r="G3" s="721"/>
      <c r="H3" s="721"/>
      <c r="I3" s="721"/>
      <c r="J3" s="721"/>
      <c r="K3" s="721"/>
      <c r="N3" s="691"/>
      <c r="O3" s="691"/>
      <c r="P3" s="691"/>
    </row>
    <row r="4" spans="1:16">
      <c r="A4" s="151" t="s">
        <v>279</v>
      </c>
      <c r="N4" s="691"/>
      <c r="O4" s="691"/>
      <c r="P4" s="691"/>
    </row>
    <row r="5" spans="1:16" ht="14" thickBot="1">
      <c r="A5" s="153" t="s">
        <v>294</v>
      </c>
      <c r="B5" s="154"/>
      <c r="C5" s="154"/>
      <c r="D5" s="154"/>
      <c r="E5" s="155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ht="15" thickTop="1" thickBot="1">
      <c r="A6" s="151"/>
    </row>
    <row r="7" spans="1:16">
      <c r="A7" s="157" t="s">
        <v>311</v>
      </c>
      <c r="B7" s="147"/>
      <c r="C7" s="158" t="s">
        <v>304</v>
      </c>
      <c r="D7" s="146"/>
      <c r="E7" s="161" t="s">
        <v>306</v>
      </c>
      <c r="F7" s="136" t="s">
        <v>307</v>
      </c>
      <c r="G7" s="136"/>
      <c r="H7" s="136"/>
      <c r="I7" s="136" t="s">
        <v>312</v>
      </c>
      <c r="J7" s="136"/>
      <c r="K7" s="136"/>
      <c r="L7" s="146"/>
      <c r="M7" s="158" t="s">
        <v>313</v>
      </c>
      <c r="N7" s="158"/>
      <c r="O7" s="158"/>
      <c r="P7" s="138"/>
    </row>
    <row r="8" spans="1:16" ht="14" thickBot="1">
      <c r="A8" s="159"/>
      <c r="B8" s="149"/>
      <c r="C8" s="160" t="s">
        <v>305</v>
      </c>
      <c r="D8" s="148"/>
      <c r="E8" s="162"/>
      <c r="F8" s="137" t="s">
        <v>308</v>
      </c>
      <c r="G8" s="137"/>
      <c r="H8" s="137"/>
      <c r="I8" s="137"/>
      <c r="J8" s="137"/>
      <c r="K8" s="137"/>
      <c r="L8" s="148"/>
      <c r="M8" s="160" t="s">
        <v>314</v>
      </c>
      <c r="N8" s="160"/>
      <c r="O8" s="160"/>
      <c r="P8" s="139"/>
    </row>
    <row r="10" spans="1:16" ht="14">
      <c r="A10" s="140" t="s">
        <v>281</v>
      </c>
    </row>
    <row r="11" spans="1:16">
      <c r="A11" s="67" t="s">
        <v>302</v>
      </c>
    </row>
    <row r="12" spans="1:16" s="144" customFormat="1" ht="12">
      <c r="A12" s="152" t="s">
        <v>303</v>
      </c>
      <c r="E12" s="145"/>
      <c r="F12" s="145"/>
      <c r="G12" s="145"/>
      <c r="I12" s="145"/>
      <c r="J12" s="145"/>
      <c r="K12" s="145"/>
      <c r="M12" s="145"/>
      <c r="N12" s="145"/>
      <c r="P12" s="145"/>
    </row>
    <row r="13" spans="1:16" s="144" customFormat="1" ht="12">
      <c r="A13" s="144" t="s">
        <v>207</v>
      </c>
      <c r="C13" s="163">
        <v>1300</v>
      </c>
      <c r="E13" s="156" t="s">
        <v>309</v>
      </c>
      <c r="F13" s="145"/>
      <c r="G13" s="145"/>
      <c r="I13" s="145"/>
      <c r="J13" s="145"/>
      <c r="K13" s="145"/>
      <c r="M13" s="145" t="s">
        <v>315</v>
      </c>
      <c r="N13" s="145"/>
      <c r="P13" s="145"/>
    </row>
    <row r="14" spans="1:16" s="144" customFormat="1" ht="12">
      <c r="A14" s="144" t="s">
        <v>210</v>
      </c>
      <c r="C14" s="163">
        <v>1013</v>
      </c>
      <c r="E14" s="156" t="s">
        <v>309</v>
      </c>
      <c r="F14" s="145"/>
      <c r="G14" s="145"/>
      <c r="I14" s="145"/>
      <c r="J14" s="145"/>
      <c r="K14" s="145"/>
      <c r="M14" s="145" t="s">
        <v>315</v>
      </c>
      <c r="N14" s="145"/>
      <c r="P14" s="145"/>
    </row>
    <row r="15" spans="1:16" s="144" customFormat="1" ht="12">
      <c r="A15" s="144" t="s">
        <v>211</v>
      </c>
      <c r="C15" s="163">
        <v>1867</v>
      </c>
      <c r="E15" s="156" t="s">
        <v>309</v>
      </c>
      <c r="F15" s="145"/>
      <c r="G15" s="145"/>
      <c r="I15" s="145"/>
      <c r="J15" s="145"/>
      <c r="K15" s="145"/>
      <c r="M15" s="145" t="s">
        <v>315</v>
      </c>
      <c r="N15" s="145"/>
      <c r="P15" s="145"/>
    </row>
    <row r="16" spans="1:16" s="144" customFormat="1" ht="12">
      <c r="A16" s="144" t="s">
        <v>212</v>
      </c>
      <c r="C16" s="163">
        <v>1500</v>
      </c>
      <c r="E16" s="156" t="s">
        <v>309</v>
      </c>
      <c r="F16" s="145"/>
      <c r="G16" s="145"/>
      <c r="I16" s="145"/>
      <c r="J16" s="145"/>
      <c r="K16" s="145"/>
      <c r="M16" s="145" t="s">
        <v>315</v>
      </c>
      <c r="N16" s="145"/>
      <c r="P16" s="145"/>
    </row>
    <row r="17" spans="1:16" s="144" customFormat="1" ht="12">
      <c r="A17" s="144" t="s">
        <v>208</v>
      </c>
      <c r="C17" s="163">
        <v>1200</v>
      </c>
      <c r="E17" s="156" t="s">
        <v>309</v>
      </c>
      <c r="F17" s="145"/>
      <c r="G17" s="145"/>
      <c r="I17" s="145"/>
      <c r="J17" s="145"/>
      <c r="K17" s="145"/>
      <c r="M17" s="145" t="s">
        <v>315</v>
      </c>
      <c r="N17" s="145"/>
      <c r="P17" s="145"/>
    </row>
    <row r="18" spans="1:16" s="144" customFormat="1" ht="12">
      <c r="A18" s="144" t="s">
        <v>213</v>
      </c>
      <c r="C18" s="163">
        <v>987</v>
      </c>
      <c r="E18" s="156" t="s">
        <v>309</v>
      </c>
      <c r="F18" s="145"/>
      <c r="G18" s="145"/>
      <c r="I18" s="145"/>
      <c r="J18" s="145"/>
      <c r="K18" s="145"/>
      <c r="M18" s="145" t="s">
        <v>315</v>
      </c>
      <c r="N18" s="145"/>
      <c r="P18" s="145"/>
    </row>
    <row r="19" spans="1:16" s="144" customFormat="1" ht="12">
      <c r="A19" s="144" t="s">
        <v>214</v>
      </c>
      <c r="C19" s="163">
        <v>2345</v>
      </c>
      <c r="E19" s="156" t="s">
        <v>309</v>
      </c>
      <c r="F19" s="145"/>
      <c r="G19" s="145"/>
      <c r="I19" s="145"/>
      <c r="J19" s="145"/>
      <c r="K19" s="145"/>
      <c r="M19" s="145" t="s">
        <v>315</v>
      </c>
      <c r="N19" s="145"/>
      <c r="P19" s="145"/>
    </row>
    <row r="20" spans="1:16" s="144" customFormat="1" ht="12">
      <c r="A20" s="144" t="s">
        <v>215</v>
      </c>
      <c r="C20" s="163">
        <v>1109</v>
      </c>
      <c r="E20" s="156" t="s">
        <v>309</v>
      </c>
      <c r="F20" s="145"/>
      <c r="G20" s="145"/>
      <c r="I20" s="145"/>
      <c r="J20" s="145"/>
      <c r="K20" s="145"/>
      <c r="M20" s="145" t="s">
        <v>315</v>
      </c>
      <c r="N20" s="145"/>
      <c r="P20" s="145"/>
    </row>
    <row r="21" spans="1:16" s="144" customFormat="1" ht="12">
      <c r="A21" s="144" t="s">
        <v>209</v>
      </c>
      <c r="C21" s="163">
        <v>1010</v>
      </c>
      <c r="E21" s="156" t="s">
        <v>309</v>
      </c>
      <c r="F21" s="145"/>
      <c r="G21" s="145"/>
      <c r="I21" s="145"/>
      <c r="J21" s="145"/>
      <c r="K21" s="145"/>
      <c r="M21" s="145" t="s">
        <v>316</v>
      </c>
      <c r="N21" s="145"/>
      <c r="P21" s="145"/>
    </row>
    <row r="22" spans="1:16" s="144" customFormat="1" ht="12">
      <c r="A22" s="144" t="s">
        <v>217</v>
      </c>
      <c r="C22" s="163">
        <v>986</v>
      </c>
      <c r="E22" s="156" t="s">
        <v>309</v>
      </c>
      <c r="F22" s="145"/>
      <c r="G22" s="145"/>
      <c r="I22" s="145"/>
      <c r="J22" s="145"/>
      <c r="K22" s="145"/>
      <c r="M22" s="145" t="s">
        <v>316</v>
      </c>
      <c r="N22" s="145"/>
      <c r="P22" s="145"/>
    </row>
    <row r="23" spans="1:16" s="144" customFormat="1" ht="12">
      <c r="A23" s="144" t="s">
        <v>218</v>
      </c>
      <c r="C23" s="163">
        <v>1828</v>
      </c>
      <c r="E23" s="156" t="s">
        <v>309</v>
      </c>
      <c r="F23" s="145"/>
      <c r="G23" s="145"/>
      <c r="I23" s="145"/>
      <c r="J23" s="145"/>
      <c r="K23" s="145"/>
      <c r="M23" s="145" t="s">
        <v>316</v>
      </c>
      <c r="N23" s="145"/>
      <c r="P23" s="145"/>
    </row>
    <row r="24" spans="1:16" s="144" customFormat="1" ht="12">
      <c r="A24" s="144" t="s">
        <v>216</v>
      </c>
      <c r="C24" s="163">
        <v>876</v>
      </c>
      <c r="E24" s="156" t="s">
        <v>309</v>
      </c>
      <c r="F24" s="145"/>
      <c r="G24" s="145"/>
      <c r="I24" s="145"/>
      <c r="J24" s="145"/>
      <c r="K24" s="145"/>
      <c r="M24" s="145" t="s">
        <v>316</v>
      </c>
      <c r="N24" s="145"/>
      <c r="P24" s="145"/>
    </row>
    <row r="25" spans="1:16">
      <c r="A25" s="2" t="s">
        <v>310</v>
      </c>
      <c r="C25" s="14">
        <f>SUM(C12:C24)</f>
        <v>16021</v>
      </c>
      <c r="E25" s="143"/>
      <c r="F25" s="143"/>
      <c r="G25" s="143"/>
      <c r="I25" s="143"/>
      <c r="J25" s="143"/>
      <c r="K25" s="143"/>
      <c r="M25" s="143"/>
      <c r="N25" s="143"/>
      <c r="P25" s="143"/>
    </row>
    <row r="27" spans="1:16" ht="28">
      <c r="A27" s="152" t="s">
        <v>317</v>
      </c>
      <c r="I27" s="165" t="s">
        <v>254</v>
      </c>
      <c r="J27" s="165" t="s">
        <v>255</v>
      </c>
    </row>
    <row r="28" spans="1:16" s="144" customFormat="1">
      <c r="A28" s="144" t="s">
        <v>220</v>
      </c>
      <c r="C28" s="163">
        <v>336</v>
      </c>
      <c r="E28" s="156" t="s">
        <v>319</v>
      </c>
      <c r="I28" s="166">
        <v>240</v>
      </c>
      <c r="J28" s="167">
        <v>1.4</v>
      </c>
      <c r="M28" s="144" t="s">
        <v>320</v>
      </c>
    </row>
    <row r="29" spans="1:16" s="144" customFormat="1">
      <c r="A29" s="144" t="s">
        <v>221</v>
      </c>
      <c r="C29" s="163">
        <v>214.5</v>
      </c>
      <c r="E29" s="156" t="s">
        <v>319</v>
      </c>
      <c r="I29" s="166">
        <v>165</v>
      </c>
      <c r="J29" s="167">
        <v>1.3</v>
      </c>
      <c r="M29" s="144" t="s">
        <v>320</v>
      </c>
    </row>
    <row r="30" spans="1:16" s="144" customFormat="1">
      <c r="A30" s="144" t="s">
        <v>222</v>
      </c>
      <c r="C30" s="163">
        <v>546</v>
      </c>
      <c r="E30" s="156" t="s">
        <v>319</v>
      </c>
      <c r="I30" s="166">
        <v>390</v>
      </c>
      <c r="J30" s="167">
        <v>1.4</v>
      </c>
      <c r="M30" s="144" t="s">
        <v>320</v>
      </c>
    </row>
    <row r="31" spans="1:16" s="144" customFormat="1">
      <c r="A31" s="144" t="s">
        <v>223</v>
      </c>
      <c r="C31" s="163">
        <v>292.56</v>
      </c>
      <c r="E31" s="156" t="s">
        <v>319</v>
      </c>
      <c r="I31" s="166">
        <v>212</v>
      </c>
      <c r="J31" s="167">
        <v>1.38</v>
      </c>
      <c r="M31" s="144" t="s">
        <v>320</v>
      </c>
    </row>
    <row r="32" spans="1:16" s="144" customFormat="1">
      <c r="A32" s="144" t="s">
        <v>224</v>
      </c>
      <c r="C32" s="163">
        <v>394.76</v>
      </c>
      <c r="E32" s="156" t="s">
        <v>319</v>
      </c>
      <c r="I32" s="166">
        <v>278</v>
      </c>
      <c r="J32" s="167">
        <v>1.42</v>
      </c>
      <c r="M32" s="144" t="s">
        <v>320</v>
      </c>
    </row>
    <row r="33" spans="1:16" s="144" customFormat="1">
      <c r="A33" s="144" t="s">
        <v>225</v>
      </c>
      <c r="C33" s="163">
        <v>280.85000000000002</v>
      </c>
      <c r="E33" s="156" t="s">
        <v>319</v>
      </c>
      <c r="I33" s="166">
        <v>205</v>
      </c>
      <c r="J33" s="167">
        <v>1.37</v>
      </c>
      <c r="M33" s="144" t="s">
        <v>320</v>
      </c>
    </row>
    <row r="34" spans="1:16" s="144" customFormat="1">
      <c r="A34" s="144" t="s">
        <v>226</v>
      </c>
      <c r="C34" s="163">
        <v>230.09</v>
      </c>
      <c r="E34" s="156" t="s">
        <v>319</v>
      </c>
      <c r="I34" s="166">
        <v>173</v>
      </c>
      <c r="J34" s="167">
        <v>1.33</v>
      </c>
      <c r="M34" s="144" t="s">
        <v>320</v>
      </c>
    </row>
    <row r="35" spans="1:16" s="144" customFormat="1">
      <c r="A35" s="144" t="s">
        <v>227</v>
      </c>
      <c r="C35" s="163">
        <v>203</v>
      </c>
      <c r="E35" s="156" t="s">
        <v>319</v>
      </c>
      <c r="I35" s="166">
        <v>140</v>
      </c>
      <c r="J35" s="167">
        <v>1.45</v>
      </c>
      <c r="M35" s="144" t="s">
        <v>320</v>
      </c>
    </row>
    <row r="36" spans="1:16" s="144" customFormat="1">
      <c r="A36" s="144" t="s">
        <v>228</v>
      </c>
      <c r="C36" s="163">
        <v>462.3</v>
      </c>
      <c r="E36" s="156" t="s">
        <v>319</v>
      </c>
      <c r="I36" s="166">
        <v>345</v>
      </c>
      <c r="J36" s="167">
        <v>1.34</v>
      </c>
      <c r="M36" s="144" t="s">
        <v>320</v>
      </c>
    </row>
    <row r="37" spans="1:16" s="144" customFormat="1">
      <c r="A37" s="144" t="s">
        <v>243</v>
      </c>
      <c r="C37" s="163">
        <v>171.6</v>
      </c>
      <c r="E37" s="156" t="s">
        <v>319</v>
      </c>
      <c r="I37" s="166">
        <v>120</v>
      </c>
      <c r="J37" s="167">
        <v>1.43</v>
      </c>
      <c r="M37" s="144" t="s">
        <v>320</v>
      </c>
    </row>
    <row r="38" spans="1:16" s="144" customFormat="1">
      <c r="A38" s="144" t="s">
        <v>244</v>
      </c>
      <c r="C38" s="163">
        <v>504.59999999999997</v>
      </c>
      <c r="E38" s="156" t="s">
        <v>319</v>
      </c>
      <c r="F38" s="145"/>
      <c r="G38" s="145"/>
      <c r="H38" s="145"/>
      <c r="I38" s="166">
        <v>348</v>
      </c>
      <c r="J38" s="167">
        <v>1.45</v>
      </c>
      <c r="K38" s="145"/>
      <c r="L38" s="145"/>
      <c r="M38" s="144" t="s">
        <v>320</v>
      </c>
      <c r="N38" s="145"/>
      <c r="O38" s="145"/>
      <c r="P38" s="145"/>
    </row>
    <row r="39" spans="1:16" s="144" customFormat="1">
      <c r="A39" s="144" t="s">
        <v>245</v>
      </c>
      <c r="C39" s="163">
        <v>396.10999999999996</v>
      </c>
      <c r="E39" s="156" t="s">
        <v>319</v>
      </c>
      <c r="F39" s="145"/>
      <c r="G39" s="145"/>
      <c r="H39" s="145"/>
      <c r="I39" s="166">
        <v>277</v>
      </c>
      <c r="J39" s="167">
        <v>1.43</v>
      </c>
      <c r="K39" s="145"/>
      <c r="L39" s="145"/>
      <c r="M39" s="144" t="s">
        <v>320</v>
      </c>
      <c r="N39" s="145"/>
      <c r="O39" s="145"/>
      <c r="P39" s="145"/>
    </row>
    <row r="40" spans="1:16" s="144" customFormat="1">
      <c r="A40" s="144" t="s">
        <v>246</v>
      </c>
      <c r="C40" s="163">
        <v>304.5</v>
      </c>
      <c r="E40" s="156" t="s">
        <v>319</v>
      </c>
      <c r="F40" s="145"/>
      <c r="G40" s="145"/>
      <c r="H40" s="145"/>
      <c r="I40" s="166">
        <v>210</v>
      </c>
      <c r="J40" s="167">
        <v>1.45</v>
      </c>
      <c r="K40" s="145"/>
      <c r="L40" s="145"/>
      <c r="M40" s="144" t="s">
        <v>320</v>
      </c>
      <c r="N40" s="145"/>
      <c r="O40" s="145"/>
      <c r="P40" s="145"/>
    </row>
    <row r="41" spans="1:16" s="144" customFormat="1">
      <c r="A41" s="144" t="s">
        <v>247</v>
      </c>
      <c r="C41" s="163">
        <v>214.5</v>
      </c>
      <c r="E41" s="156" t="s">
        <v>319</v>
      </c>
      <c r="F41" s="145"/>
      <c r="G41" s="145"/>
      <c r="H41" s="145"/>
      <c r="I41" s="166">
        <v>165</v>
      </c>
      <c r="J41" s="167">
        <v>1.3</v>
      </c>
      <c r="K41" s="145"/>
      <c r="L41" s="145"/>
      <c r="M41" s="144" t="s">
        <v>320</v>
      </c>
      <c r="N41" s="145"/>
      <c r="O41" s="145"/>
      <c r="P41" s="145"/>
    </row>
    <row r="42" spans="1:16" s="144" customFormat="1">
      <c r="A42" s="144" t="s">
        <v>248</v>
      </c>
      <c r="C42" s="163">
        <v>161.20000000000002</v>
      </c>
      <c r="E42" s="156" t="s">
        <v>319</v>
      </c>
      <c r="F42" s="145"/>
      <c r="G42" s="145"/>
      <c r="H42" s="145"/>
      <c r="I42" s="166">
        <v>124</v>
      </c>
      <c r="J42" s="167">
        <v>1.3</v>
      </c>
      <c r="K42" s="145"/>
      <c r="L42" s="145"/>
      <c r="M42" s="144" t="s">
        <v>320</v>
      </c>
      <c r="N42" s="145"/>
      <c r="O42" s="145"/>
      <c r="P42" s="145"/>
    </row>
    <row r="43" spans="1:16" s="144" customFormat="1">
      <c r="A43" s="144" t="s">
        <v>249</v>
      </c>
      <c r="C43" s="163">
        <v>352.8</v>
      </c>
      <c r="E43" s="156" t="s">
        <v>319</v>
      </c>
      <c r="F43" s="145"/>
      <c r="G43" s="145"/>
      <c r="H43" s="145"/>
      <c r="I43" s="166">
        <v>245</v>
      </c>
      <c r="J43" s="167">
        <v>1.44</v>
      </c>
      <c r="K43" s="145"/>
      <c r="L43" s="145"/>
      <c r="M43" s="144" t="s">
        <v>320</v>
      </c>
      <c r="N43" s="145"/>
      <c r="O43" s="145"/>
      <c r="P43" s="145"/>
    </row>
    <row r="44" spans="1:16" s="144" customFormat="1">
      <c r="A44" s="144" t="s">
        <v>250</v>
      </c>
      <c r="C44" s="163">
        <v>406.12</v>
      </c>
      <c r="E44" s="156" t="s">
        <v>319</v>
      </c>
      <c r="F44" s="145"/>
      <c r="G44" s="145"/>
      <c r="H44" s="145"/>
      <c r="I44" s="166">
        <v>286</v>
      </c>
      <c r="J44" s="167">
        <v>1.42</v>
      </c>
      <c r="K44" s="145"/>
      <c r="L44" s="145"/>
      <c r="M44" s="144" t="s">
        <v>320</v>
      </c>
      <c r="N44" s="145"/>
      <c r="O44" s="145"/>
      <c r="P44" s="145"/>
    </row>
    <row r="45" spans="1:16" s="144" customFormat="1">
      <c r="A45" s="144" t="s">
        <v>251</v>
      </c>
      <c r="C45" s="163">
        <v>573.12</v>
      </c>
      <c r="E45" s="156" t="s">
        <v>319</v>
      </c>
      <c r="F45" s="145"/>
      <c r="G45" s="145"/>
      <c r="H45" s="145"/>
      <c r="I45" s="166">
        <v>398</v>
      </c>
      <c r="J45" s="167">
        <v>1.44</v>
      </c>
      <c r="K45" s="145"/>
      <c r="L45" s="145"/>
      <c r="M45" s="144" t="s">
        <v>320</v>
      </c>
      <c r="N45" s="145"/>
      <c r="O45" s="145"/>
      <c r="P45" s="145"/>
    </row>
    <row r="46" spans="1:16" s="144" customFormat="1">
      <c r="A46" s="144" t="s">
        <v>252</v>
      </c>
      <c r="C46" s="163">
        <v>248.88000000000002</v>
      </c>
      <c r="E46" s="156" t="s">
        <v>319</v>
      </c>
      <c r="F46" s="145"/>
      <c r="G46" s="145"/>
      <c r="H46" s="145"/>
      <c r="I46" s="166">
        <v>183</v>
      </c>
      <c r="J46" s="167">
        <v>1.36</v>
      </c>
      <c r="K46" s="145"/>
      <c r="L46" s="145"/>
      <c r="M46" s="144" t="s">
        <v>320</v>
      </c>
      <c r="N46" s="145"/>
      <c r="O46" s="145"/>
      <c r="P46" s="145"/>
    </row>
    <row r="47" spans="1:16" s="144" customFormat="1">
      <c r="A47" s="144" t="s">
        <v>253</v>
      </c>
      <c r="C47" s="163">
        <v>208.49999999999997</v>
      </c>
      <c r="E47" s="156" t="s">
        <v>319</v>
      </c>
      <c r="F47" s="145"/>
      <c r="G47" s="145"/>
      <c r="H47" s="145"/>
      <c r="I47" s="166">
        <v>150</v>
      </c>
      <c r="J47" s="167">
        <v>1.39</v>
      </c>
      <c r="K47" s="145"/>
      <c r="L47" s="145"/>
      <c r="M47" s="144" t="s">
        <v>320</v>
      </c>
      <c r="N47" s="145"/>
      <c r="O47" s="145"/>
      <c r="P47" s="145"/>
    </row>
    <row r="48" spans="1:16">
      <c r="A48" s="2" t="s">
        <v>318</v>
      </c>
      <c r="C48" s="14">
        <f>SUM(C28:C47)</f>
        <v>6501.9900000000007</v>
      </c>
      <c r="E48" s="143"/>
      <c r="F48" s="143"/>
      <c r="G48" s="143"/>
      <c r="H48" s="142"/>
      <c r="I48" s="143"/>
      <c r="J48" s="143"/>
      <c r="K48" s="143"/>
      <c r="L48" s="142"/>
      <c r="M48" s="143"/>
      <c r="N48" s="143"/>
      <c r="O48" s="142"/>
      <c r="P48" s="143"/>
    </row>
    <row r="49" spans="1:16" ht="14" thickBot="1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pans="1:16" ht="14" thickTop="1">
      <c r="A50" s="2"/>
      <c r="E50"/>
    </row>
    <row r="51" spans="1:16" s="144" customFormat="1" ht="12">
      <c r="E51" s="145"/>
      <c r="F51" s="145"/>
      <c r="G51" s="145"/>
      <c r="I51" s="145"/>
      <c r="J51" s="145"/>
      <c r="K51" s="145"/>
      <c r="M51" s="145"/>
      <c r="N51" s="145"/>
      <c r="P51" s="145"/>
    </row>
    <row r="52" spans="1:16">
      <c r="A52" s="2"/>
      <c r="C52" s="14"/>
      <c r="D52" s="14"/>
      <c r="E52" s="143"/>
      <c r="F52" s="143"/>
      <c r="G52" s="143"/>
      <c r="I52" s="143"/>
      <c r="J52" s="143"/>
      <c r="K52" s="143"/>
      <c r="M52" s="143"/>
      <c r="N52" s="143"/>
      <c r="P52" s="143"/>
    </row>
    <row r="53" spans="1:16">
      <c r="E53"/>
    </row>
    <row r="54" spans="1:16">
      <c r="A54" s="2"/>
      <c r="C54" s="143"/>
      <c r="D54" s="143"/>
      <c r="E54" s="143"/>
      <c r="F54" s="143"/>
      <c r="G54" s="143"/>
      <c r="I54" s="143"/>
      <c r="J54" s="143"/>
      <c r="K54" s="143"/>
      <c r="M54" s="143"/>
      <c r="N54" s="143"/>
      <c r="P54" s="143"/>
    </row>
    <row r="55" spans="1:16">
      <c r="E55"/>
    </row>
    <row r="56" spans="1:16">
      <c r="A56" s="2"/>
      <c r="C56" s="143"/>
      <c r="D56" s="143"/>
      <c r="E56" s="143"/>
      <c r="F56" s="143"/>
      <c r="G56" s="143"/>
      <c r="I56" s="143"/>
      <c r="J56" s="143"/>
      <c r="K56" s="143"/>
      <c r="M56" s="143"/>
      <c r="N56" s="143"/>
      <c r="P56" s="143"/>
    </row>
  </sheetData>
  <mergeCells count="4">
    <mergeCell ref="E1:K1"/>
    <mergeCell ref="N1:P1"/>
    <mergeCell ref="E3:K3"/>
    <mergeCell ref="N3:P4"/>
  </mergeCells>
  <phoneticPr fontId="16" type="noConversion"/>
  <pageMargins left="0.75" right="0.75" top="1" bottom="1" header="0.3" footer="0.3"/>
  <pageSetup paperSize="9" orientation="portrait" horizontalDpi="0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52"/>
  <sheetViews>
    <sheetView showGridLines="0" workbookViewId="0">
      <selection sqref="A1:G52"/>
    </sheetView>
  </sheetViews>
  <sheetFormatPr baseColWidth="10" defaultColWidth="8.83203125" defaultRowHeight="13"/>
  <cols>
    <col min="1" max="1" width="3.5" style="80" customWidth="1"/>
    <col min="2" max="2" width="6.33203125" customWidth="1"/>
    <col min="3" max="3" width="30.5" style="60" bestFit="1" customWidth="1"/>
    <col min="4" max="4" width="9.1640625" style="13" customWidth="1"/>
    <col min="5" max="5" width="9.1640625" style="5" customWidth="1"/>
    <col min="6" max="6" width="21.1640625" customWidth="1"/>
    <col min="7" max="7" width="27.1640625" bestFit="1" customWidth="1"/>
  </cols>
  <sheetData>
    <row r="1" spans="1:8" ht="16">
      <c r="A1" s="684" t="s">
        <v>198</v>
      </c>
      <c r="B1" s="684"/>
      <c r="C1" s="684"/>
      <c r="D1" s="684"/>
      <c r="E1" s="684"/>
      <c r="F1" s="684"/>
      <c r="G1" s="684"/>
    </row>
    <row r="2" spans="1:8" ht="16">
      <c r="A2" s="8"/>
      <c r="B2" s="8"/>
      <c r="C2" s="8"/>
      <c r="D2" s="8"/>
      <c r="E2" s="8"/>
      <c r="F2" s="8"/>
      <c r="G2" s="8"/>
    </row>
    <row r="3" spans="1:8">
      <c r="D3" s="14" t="s">
        <v>199</v>
      </c>
      <c r="E3" s="2" t="s">
        <v>200</v>
      </c>
      <c r="F3" s="2" t="s">
        <v>201</v>
      </c>
      <c r="G3" s="2" t="s">
        <v>202</v>
      </c>
      <c r="H3" s="2" t="s">
        <v>256</v>
      </c>
    </row>
    <row r="4" spans="1:8">
      <c r="A4" s="2" t="s">
        <v>203</v>
      </c>
      <c r="C4" s="80" t="s">
        <v>204</v>
      </c>
    </row>
    <row r="5" spans="1:8" hidden="1">
      <c r="B5" s="144" t="s">
        <v>282</v>
      </c>
    </row>
    <row r="6" spans="1:8" hidden="1">
      <c r="C6" s="60" t="s">
        <v>238</v>
      </c>
      <c r="D6" s="13">
        <v>-2398</v>
      </c>
      <c r="F6" s="81" t="s">
        <v>230</v>
      </c>
      <c r="G6" s="81" t="s">
        <v>257</v>
      </c>
    </row>
    <row r="7" spans="1:8" hidden="1">
      <c r="C7" s="60" t="s">
        <v>229</v>
      </c>
      <c r="D7" s="13">
        <v>-208</v>
      </c>
      <c r="G7" t="s">
        <v>205</v>
      </c>
    </row>
    <row r="8" spans="1:8" hidden="1">
      <c r="C8" s="60" t="s">
        <v>233</v>
      </c>
      <c r="D8" s="13">
        <v>-28</v>
      </c>
    </row>
    <row r="9" spans="1:8" hidden="1">
      <c r="C9" s="60" t="s">
        <v>232</v>
      </c>
      <c r="D9" s="13">
        <v>-52</v>
      </c>
    </row>
    <row r="10" spans="1:8" hidden="1">
      <c r="C10" s="60" t="s">
        <v>234</v>
      </c>
      <c r="D10" s="13">
        <v>-32</v>
      </c>
    </row>
    <row r="11" spans="1:8" hidden="1">
      <c r="C11" s="60" t="s">
        <v>239</v>
      </c>
      <c r="D11" s="13">
        <v>-83.999999999998948</v>
      </c>
    </row>
    <row r="12" spans="1:8" hidden="1">
      <c r="C12" s="60" t="s">
        <v>235</v>
      </c>
      <c r="D12" s="13">
        <v>-44</v>
      </c>
    </row>
    <row r="13" spans="1:8" hidden="1">
      <c r="C13" s="60" t="s">
        <v>236</v>
      </c>
      <c r="D13" s="13">
        <v>-21</v>
      </c>
    </row>
    <row r="14" spans="1:8" hidden="1">
      <c r="C14" s="60" t="s">
        <v>237</v>
      </c>
      <c r="D14" s="13">
        <v>-90</v>
      </c>
    </row>
    <row r="15" spans="1:8" hidden="1">
      <c r="C15" s="60" t="s">
        <v>231</v>
      </c>
      <c r="D15" s="13">
        <v>-1800</v>
      </c>
      <c r="F15" s="81" t="s">
        <v>240</v>
      </c>
      <c r="G15" s="81" t="s">
        <v>257</v>
      </c>
    </row>
    <row r="16" spans="1:8" hidden="1">
      <c r="C16" s="60" t="s">
        <v>272</v>
      </c>
      <c r="D16" s="13">
        <f>-150*20</f>
        <v>-3000</v>
      </c>
      <c r="F16" s="81" t="s">
        <v>241</v>
      </c>
      <c r="G16" t="s">
        <v>273</v>
      </c>
    </row>
    <row r="17" spans="2:7" hidden="1"/>
    <row r="18" spans="2:7" hidden="1">
      <c r="B18" s="81" t="s">
        <v>99</v>
      </c>
      <c r="D18" s="13">
        <f>SUM(D6:D17)</f>
        <v>-7756.9999999999991</v>
      </c>
    </row>
    <row r="20" spans="2:7" ht="14">
      <c r="B20" s="144" t="s">
        <v>284</v>
      </c>
      <c r="F20" s="84" t="s">
        <v>254</v>
      </c>
      <c r="G20" s="84" t="s">
        <v>255</v>
      </c>
    </row>
    <row r="21" spans="2:7">
      <c r="C21" s="231" t="s">
        <v>220</v>
      </c>
      <c r="D21" s="232">
        <f>F21*G21</f>
        <v>444</v>
      </c>
      <c r="E21" s="233"/>
      <c r="F21" s="234">
        <v>240</v>
      </c>
      <c r="G21" s="235">
        <v>1.85</v>
      </c>
    </row>
    <row r="22" spans="2:7">
      <c r="C22" s="236" t="s">
        <v>221</v>
      </c>
      <c r="D22" s="237">
        <f t="shared" ref="D22:D40" si="0">F22*G22</f>
        <v>301.95</v>
      </c>
      <c r="E22" s="238"/>
      <c r="F22" s="239">
        <v>165</v>
      </c>
      <c r="G22" s="235">
        <v>1.83</v>
      </c>
    </row>
    <row r="23" spans="2:7">
      <c r="C23" s="236" t="s">
        <v>222</v>
      </c>
      <c r="D23" s="237">
        <f t="shared" si="0"/>
        <v>729.30000000000007</v>
      </c>
      <c r="E23" s="238"/>
      <c r="F23" s="239">
        <v>390</v>
      </c>
      <c r="G23" s="235">
        <v>1.87</v>
      </c>
    </row>
    <row r="24" spans="2:7">
      <c r="C24" s="236" t="s">
        <v>223</v>
      </c>
      <c r="D24" s="237">
        <f t="shared" si="0"/>
        <v>379.48</v>
      </c>
      <c r="E24" s="238"/>
      <c r="F24" s="239">
        <v>212</v>
      </c>
      <c r="G24" s="235">
        <v>1.79</v>
      </c>
    </row>
    <row r="25" spans="2:7">
      <c r="C25" s="236" t="s">
        <v>224</v>
      </c>
      <c r="D25" s="237">
        <f t="shared" si="0"/>
        <v>514.30000000000007</v>
      </c>
      <c r="E25" s="238"/>
      <c r="F25" s="239">
        <v>278</v>
      </c>
      <c r="G25" s="235">
        <v>1.85</v>
      </c>
    </row>
    <row r="26" spans="2:7">
      <c r="C26" s="236" t="s">
        <v>225</v>
      </c>
      <c r="D26" s="237">
        <f t="shared" si="0"/>
        <v>377.2</v>
      </c>
      <c r="E26" s="238"/>
      <c r="F26" s="239">
        <v>205</v>
      </c>
      <c r="G26" s="235">
        <v>1.8399999999999999</v>
      </c>
    </row>
    <row r="27" spans="2:7">
      <c r="C27" s="236" t="s">
        <v>226</v>
      </c>
      <c r="D27" s="237">
        <f t="shared" si="0"/>
        <v>321.77999999999997</v>
      </c>
      <c r="E27" s="238"/>
      <c r="F27" s="239">
        <v>173</v>
      </c>
      <c r="G27" s="235">
        <v>1.8599999999999999</v>
      </c>
    </row>
    <row r="28" spans="2:7">
      <c r="C28" s="236" t="s">
        <v>227</v>
      </c>
      <c r="D28" s="237">
        <f t="shared" si="0"/>
        <v>256.2</v>
      </c>
      <c r="E28" s="238"/>
      <c r="F28" s="239">
        <v>140</v>
      </c>
      <c r="G28" s="235">
        <v>1.83</v>
      </c>
    </row>
    <row r="29" spans="2:7">
      <c r="C29" s="236" t="s">
        <v>228</v>
      </c>
      <c r="D29" s="237">
        <f t="shared" si="0"/>
        <v>631.35</v>
      </c>
      <c r="E29" s="238"/>
      <c r="F29" s="239">
        <v>345</v>
      </c>
      <c r="G29" s="235">
        <v>1.83</v>
      </c>
    </row>
    <row r="30" spans="2:7">
      <c r="C30" s="236" t="s">
        <v>243</v>
      </c>
      <c r="D30" s="237">
        <f t="shared" si="0"/>
        <v>223.2</v>
      </c>
      <c r="E30" s="238"/>
      <c r="F30" s="239">
        <v>120</v>
      </c>
      <c r="G30" s="235">
        <v>1.8599999999999999</v>
      </c>
    </row>
    <row r="31" spans="2:7">
      <c r="C31" s="236" t="s">
        <v>244</v>
      </c>
      <c r="D31" s="237">
        <f t="shared" si="0"/>
        <v>657.72</v>
      </c>
      <c r="E31" s="239"/>
      <c r="F31" s="239">
        <v>348</v>
      </c>
      <c r="G31" s="235">
        <v>1.8900000000000001</v>
      </c>
    </row>
    <row r="32" spans="2:7">
      <c r="C32" s="236" t="s">
        <v>245</v>
      </c>
      <c r="D32" s="237">
        <f t="shared" si="0"/>
        <v>512.45000000000005</v>
      </c>
      <c r="E32" s="239"/>
      <c r="F32" s="239">
        <v>277</v>
      </c>
      <c r="G32" s="235">
        <v>1.85</v>
      </c>
    </row>
    <row r="33" spans="2:7">
      <c r="C33" s="236" t="s">
        <v>246</v>
      </c>
      <c r="D33" s="237">
        <f t="shared" si="0"/>
        <v>399</v>
      </c>
      <c r="E33" s="239"/>
      <c r="F33" s="239">
        <v>210</v>
      </c>
      <c r="G33" s="235">
        <v>1.9</v>
      </c>
    </row>
    <row r="34" spans="2:7">
      <c r="C34" s="236" t="s">
        <v>247</v>
      </c>
      <c r="D34" s="237">
        <f t="shared" si="0"/>
        <v>301.95</v>
      </c>
      <c r="E34" s="239"/>
      <c r="F34" s="239">
        <v>165</v>
      </c>
      <c r="G34" s="235">
        <v>1.83</v>
      </c>
    </row>
    <row r="35" spans="2:7">
      <c r="C35" s="236" t="s">
        <v>248</v>
      </c>
      <c r="D35" s="237">
        <f t="shared" si="0"/>
        <v>230.64</v>
      </c>
      <c r="E35" s="238"/>
      <c r="F35" s="239">
        <v>124</v>
      </c>
      <c r="G35" s="235">
        <v>1.8599999999999999</v>
      </c>
    </row>
    <row r="36" spans="2:7">
      <c r="C36" s="236" t="s">
        <v>249</v>
      </c>
      <c r="D36" s="237">
        <f t="shared" si="0"/>
        <v>440.99999999999994</v>
      </c>
      <c r="E36" s="238"/>
      <c r="F36" s="239">
        <v>245</v>
      </c>
      <c r="G36" s="235">
        <v>1.7999999999999998</v>
      </c>
    </row>
    <row r="37" spans="2:7">
      <c r="C37" s="236" t="s">
        <v>250</v>
      </c>
      <c r="D37" s="237">
        <f t="shared" si="0"/>
        <v>534.82000000000005</v>
      </c>
      <c r="E37" s="238"/>
      <c r="F37" s="239">
        <v>286</v>
      </c>
      <c r="G37" s="235">
        <v>1.87</v>
      </c>
    </row>
    <row r="38" spans="2:7">
      <c r="C38" s="236" t="s">
        <v>251</v>
      </c>
      <c r="D38" s="237">
        <f t="shared" si="0"/>
        <v>748.24</v>
      </c>
      <c r="E38" s="238"/>
      <c r="F38" s="239">
        <v>398</v>
      </c>
      <c r="G38" s="235">
        <v>1.88</v>
      </c>
    </row>
    <row r="39" spans="2:7">
      <c r="C39" s="236" t="s">
        <v>252</v>
      </c>
      <c r="D39" s="237">
        <f t="shared" si="0"/>
        <v>333.05999999999995</v>
      </c>
      <c r="E39" s="238"/>
      <c r="F39" s="239">
        <v>183</v>
      </c>
      <c r="G39" s="235">
        <v>1.8199999999999998</v>
      </c>
    </row>
    <row r="40" spans="2:7" ht="14" customHeight="1">
      <c r="C40" s="240" t="s">
        <v>253</v>
      </c>
      <c r="D40" s="241">
        <f t="shared" si="0"/>
        <v>285</v>
      </c>
      <c r="E40" s="242"/>
      <c r="F40" s="243">
        <v>150</v>
      </c>
      <c r="G40" s="244">
        <v>1.9</v>
      </c>
    </row>
    <row r="41" spans="2:7" ht="14" customHeight="1">
      <c r="C41" s="60" t="s">
        <v>381</v>
      </c>
      <c r="D41" s="13">
        <v>11920</v>
      </c>
      <c r="G41" s="248"/>
    </row>
    <row r="43" spans="2:7">
      <c r="D43" s="13">
        <f>SUM(D21:D42)</f>
        <v>20542.64</v>
      </c>
    </row>
    <row r="45" spans="2:7">
      <c r="B45" s="81" t="s">
        <v>258</v>
      </c>
    </row>
    <row r="46" spans="2:7">
      <c r="C46" s="231" t="s">
        <v>260</v>
      </c>
      <c r="D46" s="232">
        <v>3021</v>
      </c>
      <c r="E46" s="233"/>
      <c r="F46" s="245" t="s">
        <v>265</v>
      </c>
      <c r="G46" s="245" t="s">
        <v>259</v>
      </c>
    </row>
    <row r="47" spans="2:7">
      <c r="C47" s="236" t="s">
        <v>261</v>
      </c>
      <c r="D47" s="237">
        <v>2212</v>
      </c>
      <c r="E47" s="238"/>
      <c r="F47" s="246" t="s">
        <v>265</v>
      </c>
      <c r="G47" s="246" t="s">
        <v>259</v>
      </c>
    </row>
    <row r="48" spans="2:7">
      <c r="C48" s="236" t="s">
        <v>262</v>
      </c>
      <c r="D48" s="237">
        <v>1545</v>
      </c>
      <c r="E48" s="238"/>
      <c r="F48" s="246" t="s">
        <v>266</v>
      </c>
      <c r="G48" s="246" t="s">
        <v>264</v>
      </c>
    </row>
    <row r="49" spans="3:7">
      <c r="C49" s="236" t="s">
        <v>263</v>
      </c>
      <c r="D49" s="237">
        <v>2422</v>
      </c>
      <c r="E49" s="238"/>
      <c r="F49" s="246" t="s">
        <v>266</v>
      </c>
      <c r="G49" s="246" t="s">
        <v>264</v>
      </c>
    </row>
    <row r="50" spans="3:7">
      <c r="C50" s="240" t="s">
        <v>267</v>
      </c>
      <c r="D50" s="241">
        <v>1036</v>
      </c>
      <c r="E50" s="242"/>
      <c r="F50" s="247" t="s">
        <v>268</v>
      </c>
      <c r="G50" s="247" t="s">
        <v>269</v>
      </c>
    </row>
    <row r="52" spans="3:7">
      <c r="D52" s="13">
        <f>SUM(D46:D51)</f>
        <v>10236</v>
      </c>
    </row>
  </sheetData>
  <mergeCells count="1">
    <mergeCell ref="A1:G1"/>
  </mergeCells>
  <phoneticPr fontId="16" type="noConversion"/>
  <pageMargins left="0.75" right="0.75" top="1" bottom="1" header="0.3" footer="0.3"/>
  <pageSetup paperSize="9" orientation="portrait" horizontalDpi="0" verticalDpi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30"/>
  <sheetViews>
    <sheetView workbookViewId="0">
      <selection activeCell="C17" sqref="C17"/>
    </sheetView>
  </sheetViews>
  <sheetFormatPr baseColWidth="10" defaultColWidth="8.83203125" defaultRowHeight="13"/>
  <cols>
    <col min="1" max="1" width="5.83203125" customWidth="1"/>
    <col min="2" max="2" width="36.83203125" customWidth="1"/>
    <col min="3" max="3" width="13.6640625" style="13" customWidth="1"/>
    <col min="4" max="7" width="13.6640625" customWidth="1"/>
  </cols>
  <sheetData>
    <row r="1" spans="1:7">
      <c r="A1" s="723" t="s">
        <v>176</v>
      </c>
      <c r="B1" s="723"/>
      <c r="C1" s="723"/>
      <c r="D1" s="723"/>
      <c r="E1" s="723"/>
      <c r="F1" s="723"/>
      <c r="G1" s="723"/>
    </row>
    <row r="2" spans="1:7" ht="16">
      <c r="A2" s="684" t="s">
        <v>166</v>
      </c>
      <c r="B2" s="684"/>
      <c r="C2" s="684"/>
      <c r="D2" s="684"/>
      <c r="E2" s="684"/>
      <c r="F2" s="684"/>
      <c r="G2" s="684"/>
    </row>
    <row r="3" spans="1:7">
      <c r="A3" s="724" t="s">
        <v>167</v>
      </c>
      <c r="B3" s="724"/>
      <c r="C3" s="724"/>
      <c r="D3" s="724"/>
      <c r="E3" s="724"/>
      <c r="F3" s="724"/>
      <c r="G3" s="724"/>
    </row>
    <row r="4" spans="1:7">
      <c r="A4" s="724" t="s">
        <v>177</v>
      </c>
      <c r="B4" s="724"/>
      <c r="C4" s="724"/>
      <c r="D4" s="724"/>
      <c r="E4" s="724"/>
      <c r="F4" s="724"/>
      <c r="G4" s="724"/>
    </row>
    <row r="5" spans="1:7">
      <c r="A5" s="723" t="s">
        <v>274</v>
      </c>
      <c r="B5" s="723"/>
      <c r="C5" s="723"/>
      <c r="D5" s="723"/>
      <c r="E5" s="723"/>
      <c r="F5" s="723"/>
      <c r="G5" s="723"/>
    </row>
    <row r="6" spans="1:7">
      <c r="A6" s="64"/>
      <c r="B6" s="64"/>
      <c r="C6" s="65"/>
      <c r="D6" s="722" t="s">
        <v>168</v>
      </c>
      <c r="E6" s="722"/>
      <c r="F6" s="722"/>
      <c r="G6" s="64"/>
    </row>
    <row r="7" spans="1:7">
      <c r="C7" s="79" t="s">
        <v>242</v>
      </c>
      <c r="D7" s="83" t="s">
        <v>186</v>
      </c>
      <c r="E7" s="83" t="s">
        <v>169</v>
      </c>
      <c r="F7" s="83" t="s">
        <v>18</v>
      </c>
      <c r="G7" s="78" t="s">
        <v>170</v>
      </c>
    </row>
    <row r="8" spans="1:7">
      <c r="C8" s="66"/>
      <c r="D8" s="67"/>
      <c r="E8" s="67"/>
      <c r="F8" s="67"/>
      <c r="G8" s="67"/>
    </row>
    <row r="10" spans="1:7">
      <c r="A10" s="68" t="s">
        <v>171</v>
      </c>
      <c r="B10" s="68"/>
    </row>
    <row r="11" spans="1:7">
      <c r="A11" s="69" t="s">
        <v>175</v>
      </c>
      <c r="B11" s="70"/>
    </row>
    <row r="13" spans="1:7" ht="14">
      <c r="A13" s="71"/>
      <c r="B13" s="72" t="s">
        <v>172</v>
      </c>
      <c r="C13" s="114">
        <f>-41587-9000</f>
        <v>-50587</v>
      </c>
      <c r="D13" s="114">
        <f>C13</f>
        <v>-50587</v>
      </c>
      <c r="E13" s="127">
        <f>'cashflow updated'!G21</f>
        <v>-52326.301369863009</v>
      </c>
      <c r="F13" s="114">
        <f>D13-E13</f>
        <v>1739.3013698630093</v>
      </c>
      <c r="G13" s="128">
        <f>-'assumptions updated'!H7</f>
        <v>-616100</v>
      </c>
    </row>
    <row r="14" spans="1:7" ht="14">
      <c r="A14" s="71"/>
      <c r="B14" s="72" t="s">
        <v>161</v>
      </c>
      <c r="C14" s="108"/>
      <c r="D14" s="108"/>
      <c r="E14" s="129"/>
      <c r="F14" s="108"/>
      <c r="G14" s="130"/>
    </row>
    <row r="15" spans="1:7">
      <c r="A15" s="71"/>
      <c r="B15" s="77" t="s">
        <v>187</v>
      </c>
      <c r="C15" s="108">
        <v>0</v>
      </c>
      <c r="D15" s="108">
        <f t="shared" ref="D15:D25" si="0">C15</f>
        <v>0</v>
      </c>
      <c r="E15" s="129">
        <f>'cashflow updated'!G29</f>
        <v>0</v>
      </c>
      <c r="F15" s="108">
        <f t="shared" ref="F15:F25" si="1">D15-E15</f>
        <v>0</v>
      </c>
      <c r="G15" s="131">
        <f>-'assumptions updated'!H17</f>
        <v>-45000</v>
      </c>
    </row>
    <row r="16" spans="1:7">
      <c r="A16" s="71"/>
      <c r="B16" s="77" t="s">
        <v>188</v>
      </c>
      <c r="C16" s="108">
        <v>-7800</v>
      </c>
      <c r="D16" s="108">
        <f t="shared" si="0"/>
        <v>-7800</v>
      </c>
      <c r="E16" s="129">
        <f>'cashflow updated'!G30</f>
        <v>-19300.833333333332</v>
      </c>
      <c r="F16" s="108">
        <f t="shared" si="1"/>
        <v>11500.833333333332</v>
      </c>
      <c r="G16" s="130">
        <f>-'assumptions updated'!H23-'assumptions updated'!H19</f>
        <v>-91610</v>
      </c>
    </row>
    <row r="17" spans="1:8">
      <c r="A17" s="71"/>
      <c r="B17" s="77" t="s">
        <v>189</v>
      </c>
      <c r="C17" s="108">
        <f>-23394-5000</f>
        <v>-28394</v>
      </c>
      <c r="D17" s="108">
        <f t="shared" si="0"/>
        <v>-28394</v>
      </c>
      <c r="E17" s="129">
        <f>G17/52*4</f>
        <v>-30400</v>
      </c>
      <c r="F17" s="108">
        <f t="shared" si="1"/>
        <v>2006</v>
      </c>
      <c r="G17" s="130">
        <f>-('assumptions updated'!H26+'assumptions updated'!H27+'assumptions updated'!H28)</f>
        <v>-395200</v>
      </c>
    </row>
    <row r="18" spans="1:8">
      <c r="A18" s="71"/>
      <c r="B18" s="77" t="s">
        <v>190</v>
      </c>
      <c r="C18" s="108">
        <v>-6289</v>
      </c>
      <c r="D18" s="108">
        <f t="shared" si="0"/>
        <v>-6289</v>
      </c>
      <c r="E18" s="129">
        <f>G18/12</f>
        <v>-6000</v>
      </c>
      <c r="F18" s="108">
        <f t="shared" si="1"/>
        <v>-289</v>
      </c>
      <c r="G18" s="130">
        <f>-'assumptions updated'!H35</f>
        <v>-72000</v>
      </c>
    </row>
    <row r="19" spans="1:8">
      <c r="A19" s="71"/>
      <c r="B19" s="5" t="s">
        <v>191</v>
      </c>
      <c r="C19" s="108">
        <v>-3402</v>
      </c>
      <c r="D19" s="108">
        <f t="shared" si="0"/>
        <v>-3402</v>
      </c>
      <c r="E19" s="129">
        <f>(-'assumptions updated'!H36-'assumptions updated'!H41)/12</f>
        <v>-3000</v>
      </c>
      <c r="F19" s="108">
        <f t="shared" si="1"/>
        <v>-402</v>
      </c>
      <c r="G19" s="130">
        <f>-SUM('assumptions updated'!H36:H41)</f>
        <v>-168000</v>
      </c>
    </row>
    <row r="20" spans="1:8">
      <c r="A20" s="71"/>
      <c r="B20" s="5" t="s">
        <v>433</v>
      </c>
      <c r="C20" s="108">
        <v>0</v>
      </c>
      <c r="D20" s="108">
        <f t="shared" si="0"/>
        <v>0</v>
      </c>
      <c r="E20" s="129"/>
      <c r="F20" s="108"/>
      <c r="G20" s="130">
        <f>-'assumptions updated'!H21-'assumptions updated'!H20</f>
        <v>-104000</v>
      </c>
    </row>
    <row r="21" spans="1:8">
      <c r="A21" s="71"/>
      <c r="B21" s="77" t="s">
        <v>192</v>
      </c>
      <c r="C21" s="108">
        <v>0</v>
      </c>
      <c r="D21" s="108">
        <f t="shared" si="0"/>
        <v>0</v>
      </c>
      <c r="E21" s="129">
        <v>0</v>
      </c>
      <c r="F21" s="108">
        <f t="shared" si="1"/>
        <v>0</v>
      </c>
      <c r="G21" s="130">
        <f>-('assumptions updated'!H30+'assumptions updated'!H31+'assumptions updated'!H32+'assumptions updated'!H18)</f>
        <v>-100000</v>
      </c>
    </row>
    <row r="22" spans="1:8">
      <c r="A22" s="71"/>
      <c r="B22" s="77" t="s">
        <v>193</v>
      </c>
      <c r="C22" s="108">
        <v>-7581</v>
      </c>
      <c r="D22" s="108">
        <f t="shared" si="0"/>
        <v>-7581</v>
      </c>
      <c r="E22" s="129">
        <f>G22/52*4</f>
        <v>-3600</v>
      </c>
      <c r="F22" s="108">
        <f t="shared" si="1"/>
        <v>-3981</v>
      </c>
      <c r="G22" s="131">
        <f>-'assumptions updated'!H33</f>
        <v>-46800</v>
      </c>
    </row>
    <row r="23" spans="1:8">
      <c r="A23" s="71"/>
      <c r="B23" s="77" t="s">
        <v>195</v>
      </c>
      <c r="C23" s="108">
        <v>-2319</v>
      </c>
      <c r="D23" s="108">
        <f t="shared" si="0"/>
        <v>-2319</v>
      </c>
      <c r="E23" s="129">
        <v>0</v>
      </c>
      <c r="F23" s="108">
        <f t="shared" si="1"/>
        <v>-2319</v>
      </c>
      <c r="G23" s="131">
        <f>-'assumptions updated'!H22</f>
        <v>-20000</v>
      </c>
    </row>
    <row r="24" spans="1:8">
      <c r="A24" s="71"/>
      <c r="B24" s="77" t="s">
        <v>194</v>
      </c>
      <c r="C24" s="108">
        <v>-16987</v>
      </c>
      <c r="D24" s="108">
        <f t="shared" si="0"/>
        <v>-16987</v>
      </c>
      <c r="E24" s="129">
        <f>(G24-H24)/52*4+H24/12</f>
        <v>-15528.205128205127</v>
      </c>
      <c r="F24" s="108">
        <f t="shared" si="1"/>
        <v>-1458.794871794873</v>
      </c>
      <c r="G24" s="131">
        <f>-('assumptions updated'!H43+'assumptions updated'!H44+'assumptions updated'!H34)</f>
        <v>-203200</v>
      </c>
      <c r="H24" s="40">
        <f>'assumptions updated'!H34</f>
        <v>16000</v>
      </c>
    </row>
    <row r="25" spans="1:8" ht="14">
      <c r="A25" s="71"/>
      <c r="B25" s="72" t="s">
        <v>173</v>
      </c>
      <c r="C25" s="124">
        <v>-3000</v>
      </c>
      <c r="D25" s="124">
        <f t="shared" si="0"/>
        <v>-3000</v>
      </c>
      <c r="E25" s="132">
        <f>G25/12</f>
        <v>-3000</v>
      </c>
      <c r="F25" s="124">
        <f t="shared" si="1"/>
        <v>0</v>
      </c>
      <c r="G25" s="133">
        <f>-'assumptions updated'!H52</f>
        <v>-36000</v>
      </c>
    </row>
    <row r="27" spans="1:8">
      <c r="B27" s="73" t="s">
        <v>174</v>
      </c>
      <c r="C27" s="74">
        <f>SUM(C13:C26)</f>
        <v>-126359</v>
      </c>
      <c r="D27" s="74">
        <f>SUM(D13:D26)</f>
        <v>-126359</v>
      </c>
      <c r="E27" s="74">
        <f>SUM(E13:E26)</f>
        <v>-133155.33983140148</v>
      </c>
      <c r="F27" s="74">
        <f>D27-E27</f>
        <v>6796.3398314014776</v>
      </c>
      <c r="G27" s="74">
        <f>SUM(G13:G26)</f>
        <v>-1897910</v>
      </c>
    </row>
    <row r="29" spans="1:8">
      <c r="E29" s="219">
        <f>H24/12</f>
        <v>1333.3333333333333</v>
      </c>
    </row>
    <row r="30" spans="1:8">
      <c r="E30" s="219">
        <f>E24+E29</f>
        <v>-14194.871794871793</v>
      </c>
    </row>
  </sheetData>
  <mergeCells count="6">
    <mergeCell ref="D6:F6"/>
    <mergeCell ref="A5:G5"/>
    <mergeCell ref="A1:G1"/>
    <mergeCell ref="A2:G2"/>
    <mergeCell ref="A3:G3"/>
    <mergeCell ref="A4:G4"/>
  </mergeCells>
  <phoneticPr fontId="4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27"/>
  <sheetViews>
    <sheetView workbookViewId="0">
      <selection activeCell="C17" sqref="C17"/>
    </sheetView>
  </sheetViews>
  <sheetFormatPr baseColWidth="10" defaultColWidth="8.83203125" defaultRowHeight="13"/>
  <cols>
    <col min="1" max="1" width="5.83203125" customWidth="1"/>
    <col min="2" max="2" width="36.83203125" customWidth="1"/>
    <col min="3" max="3" width="13.6640625" style="13" customWidth="1"/>
    <col min="4" max="7" width="13.6640625" customWidth="1"/>
  </cols>
  <sheetData>
    <row r="1" spans="1:7">
      <c r="A1" s="723" t="s">
        <v>176</v>
      </c>
      <c r="B1" s="723"/>
      <c r="C1" s="723"/>
      <c r="D1" s="723"/>
      <c r="E1" s="723"/>
      <c r="F1" s="723"/>
      <c r="G1" s="723"/>
    </row>
    <row r="2" spans="1:7" ht="16">
      <c r="A2" s="684" t="s">
        <v>166</v>
      </c>
      <c r="B2" s="684"/>
      <c r="C2" s="684"/>
      <c r="D2" s="684"/>
      <c r="E2" s="684"/>
      <c r="F2" s="684"/>
      <c r="G2" s="684"/>
    </row>
    <row r="3" spans="1:7">
      <c r="A3" s="724" t="s">
        <v>167</v>
      </c>
      <c r="B3" s="724"/>
      <c r="C3" s="724"/>
      <c r="D3" s="724"/>
      <c r="E3" s="724"/>
      <c r="F3" s="724"/>
      <c r="G3" s="724"/>
    </row>
    <row r="4" spans="1:7">
      <c r="A4" s="724" t="s">
        <v>270</v>
      </c>
      <c r="B4" s="724"/>
      <c r="C4" s="724"/>
      <c r="D4" s="724"/>
      <c r="E4" s="724"/>
      <c r="F4" s="724"/>
      <c r="G4" s="724"/>
    </row>
    <row r="5" spans="1:7">
      <c r="A5" s="723" t="s">
        <v>275</v>
      </c>
      <c r="B5" s="723"/>
      <c r="C5" s="723"/>
      <c r="D5" s="723"/>
      <c r="E5" s="723"/>
      <c r="F5" s="723"/>
      <c r="G5" s="723"/>
    </row>
    <row r="6" spans="1:7">
      <c r="A6" s="64"/>
      <c r="B6" s="64"/>
      <c r="C6" s="65"/>
      <c r="D6" s="722" t="s">
        <v>168</v>
      </c>
      <c r="E6" s="722"/>
      <c r="F6" s="722"/>
      <c r="G6" s="64"/>
    </row>
    <row r="7" spans="1:7">
      <c r="C7" s="66" t="s">
        <v>242</v>
      </c>
      <c r="D7" s="83" t="s">
        <v>186</v>
      </c>
      <c r="E7" s="83" t="s">
        <v>169</v>
      </c>
      <c r="F7" s="83" t="s">
        <v>18</v>
      </c>
      <c r="G7" s="67" t="s">
        <v>170</v>
      </c>
    </row>
    <row r="8" spans="1:7">
      <c r="C8" s="66"/>
      <c r="D8" s="67"/>
      <c r="E8" s="67"/>
      <c r="F8" s="67"/>
      <c r="G8" s="67"/>
    </row>
    <row r="10" spans="1:7">
      <c r="A10" s="68" t="s">
        <v>171</v>
      </c>
      <c r="B10" s="68"/>
    </row>
    <row r="11" spans="1:7">
      <c r="A11" s="69" t="s">
        <v>175</v>
      </c>
      <c r="B11" s="70"/>
    </row>
    <row r="13" spans="1:7" ht="14">
      <c r="A13" s="71"/>
      <c r="B13" s="72" t="s">
        <v>172</v>
      </c>
      <c r="C13" s="114">
        <f>-42598-9000</f>
        <v>-51598</v>
      </c>
      <c r="D13" s="114">
        <f>C13+'Month 1 OLD'!D13</f>
        <v>-102185</v>
      </c>
      <c r="E13" s="127">
        <f>'cashflow updated'!H21+'cashflow updated'!G21</f>
        <v>-104652.60273972602</v>
      </c>
      <c r="F13" s="114">
        <f>D13-E13</f>
        <v>2467.6027397260186</v>
      </c>
      <c r="G13" s="128">
        <f>-'assumptions updated'!H7</f>
        <v>-616100</v>
      </c>
    </row>
    <row r="14" spans="1:7" ht="14">
      <c r="A14" s="71"/>
      <c r="B14" s="72" t="s">
        <v>161</v>
      </c>
      <c r="C14" s="108"/>
      <c r="D14" s="108"/>
      <c r="E14" s="129"/>
      <c r="F14" s="108"/>
      <c r="G14" s="130"/>
    </row>
    <row r="15" spans="1:7">
      <c r="A15" s="71"/>
      <c r="B15" s="77" t="s">
        <v>187</v>
      </c>
      <c r="C15" s="108">
        <v>-11500</v>
      </c>
      <c r="D15" s="108">
        <f>C15+'Month 1 OLD'!D15</f>
        <v>-11500</v>
      </c>
      <c r="E15" s="129">
        <f>'cashflow updated'!H29+'cashflow updated'!G29+5000</f>
        <v>-11250</v>
      </c>
      <c r="F15" s="108">
        <f t="shared" ref="F15:F25" si="0">D15-E15</f>
        <v>-250</v>
      </c>
      <c r="G15" s="131">
        <f>-'assumptions updated'!H17</f>
        <v>-45000</v>
      </c>
    </row>
    <row r="16" spans="1:7">
      <c r="A16" s="71"/>
      <c r="B16" s="77" t="s">
        <v>188</v>
      </c>
      <c r="C16" s="108">
        <v>-8109</v>
      </c>
      <c r="D16" s="108">
        <f>C16+'Month 1 OLD'!D16</f>
        <v>-15909</v>
      </c>
      <c r="E16" s="129">
        <f>'cashflow updated'!H30+'cashflow updated'!G30</f>
        <v>-38601.666666666664</v>
      </c>
      <c r="F16" s="108">
        <f t="shared" si="0"/>
        <v>22692.666666666664</v>
      </c>
      <c r="G16" s="130">
        <f>-'assumptions updated'!H23</f>
        <v>-61610</v>
      </c>
    </row>
    <row r="17" spans="1:7">
      <c r="A17" s="71"/>
      <c r="B17" s="77" t="s">
        <v>189</v>
      </c>
      <c r="C17" s="108">
        <f>-25567-5000</f>
        <v>-30567</v>
      </c>
      <c r="D17" s="108">
        <f>C17+'Month 1 OLD'!D17</f>
        <v>-58961</v>
      </c>
      <c r="E17" s="129">
        <f>G17/52*8</f>
        <v>-60800</v>
      </c>
      <c r="F17" s="108">
        <f t="shared" si="0"/>
        <v>1839</v>
      </c>
      <c r="G17" s="130">
        <f>-('assumptions updated'!H26+'assumptions updated'!H27+'assumptions updated'!H28)</f>
        <v>-395200</v>
      </c>
    </row>
    <row r="18" spans="1:7">
      <c r="A18" s="71"/>
      <c r="B18" s="77" t="s">
        <v>190</v>
      </c>
      <c r="C18" s="108">
        <v>-6345</v>
      </c>
      <c r="D18" s="108">
        <f>C18+'Month 1 OLD'!D18</f>
        <v>-12634</v>
      </c>
      <c r="E18" s="129">
        <f>G18/12*2</f>
        <v>-12000</v>
      </c>
      <c r="F18" s="108">
        <f t="shared" si="0"/>
        <v>-634</v>
      </c>
      <c r="G18" s="130">
        <f>-'assumptions updated'!H35</f>
        <v>-72000</v>
      </c>
    </row>
    <row r="19" spans="1:7">
      <c r="A19" s="71"/>
      <c r="B19" s="5" t="s">
        <v>191</v>
      </c>
      <c r="C19" s="108">
        <v>-16021</v>
      </c>
      <c r="D19" s="108">
        <f>C19+'Month 1 OLD'!D19</f>
        <v>-19423</v>
      </c>
      <c r="E19" s="129">
        <f>'cashflow updated'!G27+'cashflow updated'!H27-E18</f>
        <v>-8666.6666666666679</v>
      </c>
      <c r="F19" s="108">
        <f t="shared" si="0"/>
        <v>-10756.333333333332</v>
      </c>
      <c r="G19" s="130">
        <f>-SUM('assumptions updated'!H36:H41)</f>
        <v>-168000</v>
      </c>
    </row>
    <row r="20" spans="1:7">
      <c r="A20" s="71"/>
      <c r="B20" s="5" t="s">
        <v>433</v>
      </c>
      <c r="C20" s="108">
        <f>-25888*0.7</f>
        <v>-18121.599999999999</v>
      </c>
      <c r="D20" s="108">
        <f>C20+'Month 1 OLD'!D20</f>
        <v>-18121.599999999999</v>
      </c>
      <c r="E20" s="129"/>
      <c r="F20" s="108"/>
      <c r="G20" s="130"/>
    </row>
    <row r="21" spans="1:7">
      <c r="A21" s="71"/>
      <c r="B21" s="77" t="s">
        <v>192</v>
      </c>
      <c r="C21" s="108"/>
      <c r="D21" s="108">
        <f>C21+'Month 1 OLD'!D21</f>
        <v>0</v>
      </c>
      <c r="E21" s="129">
        <v>0</v>
      </c>
      <c r="F21" s="108">
        <f t="shared" si="0"/>
        <v>0</v>
      </c>
      <c r="G21" s="130">
        <f>-('assumptions updated'!H30+'assumptions updated'!H31+'assumptions updated'!H32)</f>
        <v>-64000</v>
      </c>
    </row>
    <row r="22" spans="1:7">
      <c r="A22" s="71"/>
      <c r="B22" s="77" t="s">
        <v>193</v>
      </c>
      <c r="C22" s="108">
        <v>-7501</v>
      </c>
      <c r="D22" s="108">
        <f>C22+'Month 1 OLD'!D22</f>
        <v>-15082</v>
      </c>
      <c r="E22" s="129">
        <f>G22/52*8</f>
        <v>-7200</v>
      </c>
      <c r="F22" s="108">
        <f t="shared" si="0"/>
        <v>-7882</v>
      </c>
      <c r="G22" s="131">
        <f>-'assumptions updated'!H33</f>
        <v>-46800</v>
      </c>
    </row>
    <row r="23" spans="1:7">
      <c r="A23" s="71"/>
      <c r="B23" s="77" t="s">
        <v>195</v>
      </c>
      <c r="C23" s="108">
        <v>-1120</v>
      </c>
      <c r="D23" s="108">
        <f>C23+'Month 1 OLD'!D23</f>
        <v>-3439</v>
      </c>
      <c r="E23" s="129">
        <v>-5000</v>
      </c>
      <c r="F23" s="108">
        <f t="shared" si="0"/>
        <v>1561</v>
      </c>
      <c r="G23" s="131">
        <v>0</v>
      </c>
    </row>
    <row r="24" spans="1:7">
      <c r="A24" s="71"/>
      <c r="B24" s="77" t="s">
        <v>194</v>
      </c>
      <c r="C24" s="108">
        <v>-15890</v>
      </c>
      <c r="D24" s="108">
        <f>C24+'Month 1 OLD'!D24</f>
        <v>-32877</v>
      </c>
      <c r="E24" s="129">
        <f>G24/52*8</f>
        <v>-28800</v>
      </c>
      <c r="F24" s="108">
        <f t="shared" si="0"/>
        <v>-4077</v>
      </c>
      <c r="G24" s="131">
        <f>-('assumptions updated'!H43+'assumptions updated'!H44)</f>
        <v>-187200</v>
      </c>
    </row>
    <row r="25" spans="1:7" ht="14">
      <c r="A25" s="71"/>
      <c r="B25" s="72" t="s">
        <v>173</v>
      </c>
      <c r="C25" s="124">
        <v>-3000</v>
      </c>
      <c r="D25" s="124">
        <f>C25+'Month 1 OLD'!D25</f>
        <v>-6000</v>
      </c>
      <c r="E25" s="132">
        <f>G25/12*2</f>
        <v>-6000</v>
      </c>
      <c r="F25" s="124">
        <f t="shared" si="0"/>
        <v>0</v>
      </c>
      <c r="G25" s="133">
        <f>-'assumptions updated'!H52</f>
        <v>-36000</v>
      </c>
    </row>
    <row r="27" spans="1:7">
      <c r="B27" s="73" t="s">
        <v>174</v>
      </c>
      <c r="C27" s="74">
        <f>SUM(C13:C26)</f>
        <v>-169772.6</v>
      </c>
      <c r="D27" s="74">
        <f>SUM(D13:D26)</f>
        <v>-296131.59999999998</v>
      </c>
      <c r="E27" s="74">
        <f>SUM(E13:E26)</f>
        <v>-282970.93607305933</v>
      </c>
      <c r="F27" s="74">
        <f>D27-E27</f>
        <v>-13160.663926940644</v>
      </c>
      <c r="G27" s="74">
        <f>SUM(G13:G26)</f>
        <v>-1691910</v>
      </c>
    </row>
  </sheetData>
  <mergeCells count="6">
    <mergeCell ref="D6:F6"/>
    <mergeCell ref="A5:G5"/>
    <mergeCell ref="A1:G1"/>
    <mergeCell ref="A2:G2"/>
    <mergeCell ref="A3:G3"/>
    <mergeCell ref="A4:G4"/>
  </mergeCells>
  <phoneticPr fontId="4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27"/>
  <sheetViews>
    <sheetView workbookViewId="0">
      <selection activeCell="C17" sqref="C17"/>
    </sheetView>
  </sheetViews>
  <sheetFormatPr baseColWidth="10" defaultColWidth="8.83203125" defaultRowHeight="13"/>
  <cols>
    <col min="1" max="1" width="5.83203125" customWidth="1"/>
    <col min="2" max="2" width="36.83203125" customWidth="1"/>
    <col min="3" max="3" width="13.6640625" style="13" customWidth="1"/>
    <col min="4" max="7" width="13.6640625" customWidth="1"/>
  </cols>
  <sheetData>
    <row r="1" spans="1:7">
      <c r="A1" s="723" t="s">
        <v>176</v>
      </c>
      <c r="B1" s="723"/>
      <c r="C1" s="723"/>
      <c r="D1" s="723"/>
      <c r="E1" s="723"/>
      <c r="F1" s="723"/>
      <c r="G1" s="723"/>
    </row>
    <row r="2" spans="1:7" ht="16">
      <c r="A2" s="684" t="s">
        <v>166</v>
      </c>
      <c r="B2" s="684"/>
      <c r="C2" s="684"/>
      <c r="D2" s="684"/>
      <c r="E2" s="684"/>
      <c r="F2" s="684"/>
      <c r="G2" s="684"/>
    </row>
    <row r="3" spans="1:7">
      <c r="A3" s="724" t="s">
        <v>167</v>
      </c>
      <c r="B3" s="724"/>
      <c r="C3" s="724"/>
      <c r="D3" s="724"/>
      <c r="E3" s="724"/>
      <c r="F3" s="724"/>
      <c r="G3" s="724"/>
    </row>
    <row r="4" spans="1:7">
      <c r="A4" s="724" t="s">
        <v>185</v>
      </c>
      <c r="B4" s="724"/>
      <c r="C4" s="724"/>
      <c r="D4" s="724"/>
      <c r="E4" s="724"/>
      <c r="F4" s="724"/>
      <c r="G4" s="724"/>
    </row>
    <row r="5" spans="1:7">
      <c r="A5" s="723" t="s">
        <v>276</v>
      </c>
      <c r="B5" s="723"/>
      <c r="C5" s="723"/>
      <c r="D5" s="723"/>
      <c r="E5" s="723"/>
      <c r="F5" s="723"/>
      <c r="G5" s="723"/>
    </row>
    <row r="6" spans="1:7">
      <c r="A6" s="64"/>
      <c r="B6" s="64"/>
      <c r="C6" s="65"/>
      <c r="D6" s="722" t="s">
        <v>168</v>
      </c>
      <c r="E6" s="722"/>
      <c r="F6" s="722"/>
      <c r="G6" s="64"/>
    </row>
    <row r="7" spans="1:7">
      <c r="C7" s="66" t="s">
        <v>242</v>
      </c>
      <c r="D7" s="83" t="s">
        <v>186</v>
      </c>
      <c r="E7" s="83" t="s">
        <v>169</v>
      </c>
      <c r="F7" s="83" t="s">
        <v>18</v>
      </c>
      <c r="G7" s="67" t="s">
        <v>170</v>
      </c>
    </row>
    <row r="8" spans="1:7">
      <c r="C8" s="66"/>
      <c r="D8" s="67"/>
      <c r="E8" s="67"/>
      <c r="F8" s="67"/>
      <c r="G8" s="67"/>
    </row>
    <row r="10" spans="1:7">
      <c r="A10" s="68" t="s">
        <v>171</v>
      </c>
      <c r="B10" s="68"/>
    </row>
    <row r="11" spans="1:7">
      <c r="A11" s="69" t="s">
        <v>175</v>
      </c>
      <c r="B11" s="70"/>
    </row>
    <row r="13" spans="1:7" ht="14">
      <c r="A13" s="71"/>
      <c r="B13" s="72" t="s">
        <v>172</v>
      </c>
      <c r="C13" s="114">
        <f>-42361-9500</f>
        <v>-51861</v>
      </c>
      <c r="D13" s="114">
        <f>C13+'Month 2 OLD'!D13</f>
        <v>-154046</v>
      </c>
      <c r="E13" s="127">
        <f>SUM('cashflow updated'!G21:I21)</f>
        <v>-155290.95890410958</v>
      </c>
      <c r="F13" s="114">
        <f>D13-E13</f>
        <v>1244.9589041095751</v>
      </c>
      <c r="G13" s="128">
        <f>'Month 2 OLD'!G13</f>
        <v>-616100</v>
      </c>
    </row>
    <row r="14" spans="1:7" ht="14">
      <c r="A14" s="71"/>
      <c r="B14" s="72" t="s">
        <v>161</v>
      </c>
      <c r="C14" s="108"/>
      <c r="D14" s="108"/>
      <c r="E14" s="129"/>
      <c r="F14" s="108"/>
      <c r="G14" s="130"/>
    </row>
    <row r="15" spans="1:7">
      <c r="A15" s="71"/>
      <c r="B15" s="77" t="s">
        <v>187</v>
      </c>
      <c r="C15" s="108">
        <v>0</v>
      </c>
      <c r="D15" s="108">
        <f>C15+'Month 2 OLD'!D15</f>
        <v>-11500</v>
      </c>
      <c r="E15" s="129">
        <f>'cashflow updated'!H29+'cashflow updated'!G29+'cashflow updated'!I29+5000</f>
        <v>-11250</v>
      </c>
      <c r="F15" s="108">
        <f t="shared" ref="F15:F25" si="0">D15-E15</f>
        <v>-250</v>
      </c>
      <c r="G15" s="130">
        <f>'Month 2 OLD'!G15</f>
        <v>-45000</v>
      </c>
    </row>
    <row r="16" spans="1:7">
      <c r="A16" s="71"/>
      <c r="B16" s="77" t="s">
        <v>188</v>
      </c>
      <c r="C16" s="108">
        <v>-6900</v>
      </c>
      <c r="D16" s="108">
        <f>C16+'Month 2 OLD'!D16</f>
        <v>-22809</v>
      </c>
      <c r="E16" s="129">
        <f>'cashflow updated'!H30+'cashflow updated'!G30+'cashflow updated'!I30</f>
        <v>-57902.5</v>
      </c>
      <c r="F16" s="108">
        <f t="shared" si="0"/>
        <v>35093.5</v>
      </c>
      <c r="G16" s="130">
        <f>'Month 2 OLD'!G16</f>
        <v>-61610</v>
      </c>
    </row>
    <row r="17" spans="1:7">
      <c r="A17" s="71"/>
      <c r="B17" s="77" t="s">
        <v>189</v>
      </c>
      <c r="C17" s="108">
        <f>-34740-5000</f>
        <v>-39740</v>
      </c>
      <c r="D17" s="108">
        <f>C17+'Month 2 OLD'!D17</f>
        <v>-98701</v>
      </c>
      <c r="E17" s="129">
        <f>G17/52*13</f>
        <v>-98800</v>
      </c>
      <c r="F17" s="108">
        <f t="shared" si="0"/>
        <v>99</v>
      </c>
      <c r="G17" s="130">
        <f>'Month 2 OLD'!G17</f>
        <v>-395200</v>
      </c>
    </row>
    <row r="18" spans="1:7">
      <c r="A18" s="71"/>
      <c r="B18" s="77" t="s">
        <v>190</v>
      </c>
      <c r="C18" s="108">
        <v>-7757</v>
      </c>
      <c r="D18" s="108">
        <f>C18+'Month 2 OLD'!D18</f>
        <v>-20391</v>
      </c>
      <c r="E18" s="129">
        <f>G18/12*3</f>
        <v>-18000</v>
      </c>
      <c r="F18" s="108">
        <f t="shared" si="0"/>
        <v>-2391</v>
      </c>
      <c r="G18" s="130">
        <f>'Month 2 OLD'!G18</f>
        <v>-72000</v>
      </c>
    </row>
    <row r="19" spans="1:7">
      <c r="A19" s="71"/>
      <c r="B19" s="5" t="s">
        <v>191</v>
      </c>
      <c r="C19" s="108">
        <v>-18033</v>
      </c>
      <c r="D19" s="108">
        <f>C19+'Month 2 OLD'!D19</f>
        <v>-37456</v>
      </c>
      <c r="E19" s="129">
        <f>'cashflow updated'!G27+'cashflow updated'!H27+'cashflow updated'!I27-E18+'cashflow updated'!I24</f>
        <v>-46000</v>
      </c>
      <c r="F19" s="108">
        <f t="shared" si="0"/>
        <v>8544</v>
      </c>
      <c r="G19" s="130">
        <f>'Month 2 OLD'!G19</f>
        <v>-168000</v>
      </c>
    </row>
    <row r="20" spans="1:7">
      <c r="A20" s="71"/>
      <c r="B20" s="5" t="s">
        <v>433</v>
      </c>
      <c r="C20" s="108">
        <v>0</v>
      </c>
      <c r="D20" s="108">
        <f>C20+'Month 2 OLD'!D20</f>
        <v>-18121.599999999999</v>
      </c>
      <c r="E20" s="129"/>
      <c r="F20" s="108"/>
      <c r="G20" s="130"/>
    </row>
    <row r="21" spans="1:7">
      <c r="A21" s="71"/>
      <c r="B21" s="77" t="s">
        <v>192</v>
      </c>
      <c r="C21" s="108">
        <f>-7120</f>
        <v>-7120</v>
      </c>
      <c r="D21" s="108">
        <f>C21+'Month 2 OLD'!D21</f>
        <v>-7120</v>
      </c>
      <c r="E21" s="129">
        <f>'cashflow updated'!I25</f>
        <v>-12000</v>
      </c>
      <c r="F21" s="108">
        <f t="shared" si="0"/>
        <v>4880</v>
      </c>
      <c r="G21" s="130">
        <f>'Month 2 OLD'!G21</f>
        <v>-64000</v>
      </c>
    </row>
    <row r="22" spans="1:7">
      <c r="A22" s="71"/>
      <c r="B22" s="77" t="s">
        <v>193</v>
      </c>
      <c r="C22" s="108">
        <f>SUM('September transactions'!D21:D40)*-1-11920</f>
        <v>-20542.64</v>
      </c>
      <c r="D22" s="108">
        <f>C22+'Month 2 OLD'!D22</f>
        <v>-35624.639999999999</v>
      </c>
      <c r="E22" s="129">
        <f>G22/52*13</f>
        <v>-11700</v>
      </c>
      <c r="F22" s="108">
        <f t="shared" si="0"/>
        <v>-23924.639999999999</v>
      </c>
      <c r="G22" s="130">
        <f>'Month 2 OLD'!G22</f>
        <v>-46800</v>
      </c>
    </row>
    <row r="23" spans="1:7">
      <c r="A23" s="71"/>
      <c r="B23" s="77" t="s">
        <v>195</v>
      </c>
      <c r="C23" s="108">
        <v>-10236</v>
      </c>
      <c r="D23" s="108">
        <f>C23+'Month 2 OLD'!D23</f>
        <v>-13675</v>
      </c>
      <c r="E23" s="129">
        <v>-5000</v>
      </c>
      <c r="F23" s="108">
        <f t="shared" si="0"/>
        <v>-8675</v>
      </c>
      <c r="G23" s="130">
        <v>0</v>
      </c>
    </row>
    <row r="24" spans="1:7">
      <c r="A24" s="71"/>
      <c r="B24" s="77" t="s">
        <v>194</v>
      </c>
      <c r="C24" s="108">
        <v>-18191</v>
      </c>
      <c r="D24" s="108">
        <f>C24+'Month 2 OLD'!D24</f>
        <v>-51068</v>
      </c>
      <c r="E24" s="129">
        <f>G24/52*13</f>
        <v>-46800</v>
      </c>
      <c r="F24" s="108">
        <f t="shared" si="0"/>
        <v>-4268</v>
      </c>
      <c r="G24" s="130">
        <f>'Month 2 OLD'!G24</f>
        <v>-187200</v>
      </c>
    </row>
    <row r="25" spans="1:7" ht="14">
      <c r="A25" s="71"/>
      <c r="B25" s="72" t="s">
        <v>173</v>
      </c>
      <c r="C25" s="124">
        <v>-3000</v>
      </c>
      <c r="D25" s="124">
        <f>C25+'Month 2 OLD'!D25</f>
        <v>-9000</v>
      </c>
      <c r="E25" s="132">
        <f>G25/12*3</f>
        <v>-9000</v>
      </c>
      <c r="F25" s="124">
        <f t="shared" si="0"/>
        <v>0</v>
      </c>
      <c r="G25" s="134">
        <f>'Month 2 OLD'!G25</f>
        <v>-36000</v>
      </c>
    </row>
    <row r="27" spans="1:7">
      <c r="B27" s="73" t="s">
        <v>174</v>
      </c>
      <c r="C27" s="74">
        <f>SUM(C13:C26)</f>
        <v>-183380.64</v>
      </c>
      <c r="D27" s="74">
        <f>SUM(D13:D26)</f>
        <v>-479512.24</v>
      </c>
      <c r="E27" s="74">
        <f>SUM(E13:E26)</f>
        <v>-471743.45890410955</v>
      </c>
      <c r="F27" s="74">
        <f>D27-E27</f>
        <v>-7768.7810958904447</v>
      </c>
      <c r="G27" s="74">
        <f>SUM(G13:G26)</f>
        <v>-1691910</v>
      </c>
    </row>
  </sheetData>
  <mergeCells count="6">
    <mergeCell ref="D6:F6"/>
    <mergeCell ref="A5:G5"/>
    <mergeCell ref="A1:G1"/>
    <mergeCell ref="A2:G2"/>
    <mergeCell ref="A3:G3"/>
    <mergeCell ref="A4:G4"/>
  </mergeCells>
  <phoneticPr fontId="4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26"/>
  <sheetViews>
    <sheetView workbookViewId="0">
      <selection activeCell="D51" sqref="D51"/>
    </sheetView>
  </sheetViews>
  <sheetFormatPr baseColWidth="10" defaultColWidth="8.83203125" defaultRowHeight="13"/>
  <cols>
    <col min="1" max="1" width="5.83203125" customWidth="1"/>
    <col min="2" max="2" width="36.83203125" customWidth="1"/>
    <col min="3" max="3" width="13.6640625" customWidth="1"/>
    <col min="4" max="6" width="10.6640625" customWidth="1"/>
    <col min="7" max="7" width="10.6640625" hidden="1" customWidth="1"/>
    <col min="8" max="8" width="10.6640625" customWidth="1"/>
  </cols>
  <sheetData>
    <row r="1" spans="1:9">
      <c r="A1" s="723" t="s">
        <v>178</v>
      </c>
      <c r="B1" s="723"/>
      <c r="C1" s="723"/>
      <c r="D1" s="723"/>
      <c r="E1" s="723"/>
      <c r="F1" s="723"/>
      <c r="G1" s="723"/>
      <c r="H1" s="723"/>
    </row>
    <row r="2" spans="1:9" ht="16">
      <c r="A2" s="684" t="s">
        <v>271</v>
      </c>
      <c r="B2" s="684"/>
      <c r="C2" s="684"/>
      <c r="D2" s="684"/>
      <c r="E2" s="684"/>
      <c r="F2" s="684"/>
      <c r="G2" s="684"/>
      <c r="H2" s="684"/>
    </row>
    <row r="3" spans="1:9">
      <c r="A3" s="724" t="s">
        <v>167</v>
      </c>
      <c r="B3" s="724"/>
      <c r="C3" s="724"/>
      <c r="D3" s="724"/>
      <c r="E3" s="724"/>
      <c r="F3" s="724"/>
      <c r="G3" s="724"/>
      <c r="H3" s="724"/>
    </row>
    <row r="4" spans="1:9">
      <c r="A4" s="724" t="s">
        <v>185</v>
      </c>
      <c r="B4" s="724"/>
      <c r="C4" s="724"/>
      <c r="D4" s="724"/>
      <c r="E4" s="724"/>
      <c r="F4" s="724"/>
      <c r="G4" s="724"/>
      <c r="H4" s="724"/>
      <c r="I4" s="2"/>
    </row>
    <row r="5" spans="1:9">
      <c r="A5" s="723" t="s">
        <v>179</v>
      </c>
      <c r="B5" s="723"/>
      <c r="C5" s="723"/>
      <c r="D5" s="723"/>
      <c r="E5" s="723"/>
      <c r="F5" s="723"/>
      <c r="G5" s="723"/>
      <c r="H5" s="723"/>
    </row>
    <row r="6" spans="1:9">
      <c r="A6" s="64"/>
      <c r="B6" s="64"/>
      <c r="C6" s="64"/>
      <c r="D6" s="64"/>
      <c r="E6" s="64"/>
      <c r="F6" s="64"/>
      <c r="G6" s="64"/>
    </row>
    <row r="7" spans="1:9" ht="42">
      <c r="C7" s="67"/>
      <c r="D7" s="67" t="s">
        <v>180</v>
      </c>
      <c r="E7" s="67" t="s">
        <v>181</v>
      </c>
      <c r="F7" s="67" t="s">
        <v>182</v>
      </c>
      <c r="G7" s="67" t="s">
        <v>183</v>
      </c>
      <c r="H7" s="75" t="s">
        <v>184</v>
      </c>
    </row>
    <row r="8" spans="1:9">
      <c r="C8" s="67"/>
      <c r="D8" s="67"/>
      <c r="E8" s="67"/>
      <c r="F8" s="67"/>
      <c r="G8" s="67"/>
    </row>
    <row r="10" spans="1:9">
      <c r="A10" s="68" t="s">
        <v>171</v>
      </c>
      <c r="B10" s="68"/>
      <c r="C10" s="13"/>
    </row>
    <row r="11" spans="1:9">
      <c r="A11" s="69" t="s">
        <v>175</v>
      </c>
      <c r="B11" s="70"/>
      <c r="C11" s="13"/>
    </row>
    <row r="13" spans="1:9" ht="14">
      <c r="A13" s="71"/>
      <c r="B13" s="72" t="s">
        <v>172</v>
      </c>
      <c r="C13" s="13"/>
      <c r="D13" s="114">
        <f>'Month 1 OLD'!F13</f>
        <v>1739.3013698630093</v>
      </c>
      <c r="E13" s="114">
        <f>'Month 2 OLD'!F13-'Summary of variances OLD'!D13</f>
        <v>728.30136986300931</v>
      </c>
      <c r="F13" s="114">
        <f>'Month 3 OLD'!F13-'Summary of variances OLD'!E13-'Summary of variances OLD'!D13</f>
        <v>-1222.6438356164435</v>
      </c>
      <c r="G13" s="114"/>
      <c r="H13" s="114">
        <f t="shared" ref="H13:H23" si="0">SUM(D13:G13)</f>
        <v>1244.9589041095751</v>
      </c>
      <c r="I13" s="13"/>
    </row>
    <row r="14" spans="1:9" ht="14">
      <c r="A14" s="71"/>
      <c r="B14" s="72" t="s">
        <v>161</v>
      </c>
      <c r="D14" s="108"/>
      <c r="E14" s="108"/>
      <c r="F14" s="108"/>
      <c r="G14" s="108"/>
      <c r="H14" s="108"/>
      <c r="I14" s="13"/>
    </row>
    <row r="15" spans="1:9">
      <c r="A15" s="71"/>
      <c r="B15" s="77" t="s">
        <v>187</v>
      </c>
      <c r="C15" s="13"/>
      <c r="D15" s="108">
        <f>'Month 1 OLD'!F15</f>
        <v>0</v>
      </c>
      <c r="E15" s="108">
        <f>'Month 2 OLD'!F15-'Summary of variances OLD'!D15</f>
        <v>-250</v>
      </c>
      <c r="F15" s="108">
        <f>'Month 3 OLD'!F15-'Summary of variances OLD'!E15-'Summary of variances OLD'!D15</f>
        <v>0</v>
      </c>
      <c r="G15" s="108"/>
      <c r="H15" s="108">
        <f t="shared" si="0"/>
        <v>-250</v>
      </c>
      <c r="I15" s="13"/>
    </row>
    <row r="16" spans="1:9">
      <c r="A16" s="71"/>
      <c r="B16" s="77" t="s">
        <v>188</v>
      </c>
      <c r="C16" s="13"/>
      <c r="D16" s="108">
        <f>'Month 1 OLD'!F16</f>
        <v>11500.833333333332</v>
      </c>
      <c r="E16" s="108">
        <f>'Month 2 OLD'!F16-'Summary of variances OLD'!D16</f>
        <v>11191.833333333332</v>
      </c>
      <c r="F16" s="108">
        <f>'Month 3 OLD'!F16-'Summary of variances OLD'!E16-'Summary of variances OLD'!D16</f>
        <v>12400.833333333336</v>
      </c>
      <c r="G16" s="108"/>
      <c r="H16" s="108">
        <f t="shared" si="0"/>
        <v>35093.5</v>
      </c>
      <c r="I16" s="13"/>
    </row>
    <row r="17" spans="1:9">
      <c r="A17" s="71"/>
      <c r="B17" s="77" t="s">
        <v>189</v>
      </c>
      <c r="C17" s="13"/>
      <c r="D17" s="108">
        <f>'Month 1 OLD'!F17</f>
        <v>2006</v>
      </c>
      <c r="E17" s="108">
        <f>'Month 2 OLD'!F17-'Summary of variances OLD'!D17</f>
        <v>-167</v>
      </c>
      <c r="F17" s="108">
        <f>'Month 3 OLD'!F17-'Summary of variances OLD'!E17-'Summary of variances OLD'!D17</f>
        <v>-1740</v>
      </c>
      <c r="G17" s="108"/>
      <c r="H17" s="108">
        <f t="shared" si="0"/>
        <v>99</v>
      </c>
      <c r="I17" s="13"/>
    </row>
    <row r="18" spans="1:9">
      <c r="A18" s="71"/>
      <c r="B18" s="77" t="s">
        <v>190</v>
      </c>
      <c r="C18" s="13"/>
      <c r="D18" s="108">
        <f>'Month 1 OLD'!F18</f>
        <v>-289</v>
      </c>
      <c r="E18" s="108">
        <f>'Month 2 OLD'!F18-'Summary of variances OLD'!D18</f>
        <v>-345</v>
      </c>
      <c r="F18" s="108">
        <f>'Month 3 OLD'!F18-'Summary of variances OLD'!E18-'Summary of variances OLD'!D18</f>
        <v>-1757</v>
      </c>
      <c r="G18" s="108"/>
      <c r="H18" s="108">
        <f t="shared" si="0"/>
        <v>-2391</v>
      </c>
      <c r="I18" s="13"/>
    </row>
    <row r="19" spans="1:9">
      <c r="A19" s="71"/>
      <c r="B19" s="5" t="s">
        <v>191</v>
      </c>
      <c r="C19" s="13"/>
      <c r="D19" s="108">
        <f>'Month 1 OLD'!F19</f>
        <v>-402</v>
      </c>
      <c r="E19" s="108">
        <f>'Month 2 OLD'!F19-'Summary of variances OLD'!D19</f>
        <v>-10354.333333333332</v>
      </c>
      <c r="F19" s="108">
        <f>'Month 3 OLD'!F19-'Summary of variances OLD'!E19-'Summary of variances OLD'!D19</f>
        <v>19300.333333333332</v>
      </c>
      <c r="G19" s="108"/>
      <c r="H19" s="108">
        <f t="shared" si="0"/>
        <v>8544</v>
      </c>
      <c r="I19" s="13"/>
    </row>
    <row r="20" spans="1:9">
      <c r="A20" s="71"/>
      <c r="B20" s="77" t="s">
        <v>192</v>
      </c>
      <c r="D20" s="108">
        <f>'Month 1 OLD'!F21</f>
        <v>0</v>
      </c>
      <c r="E20" s="108">
        <f>'Month 2 OLD'!F21-'Summary of variances OLD'!D20</f>
        <v>0</v>
      </c>
      <c r="F20" s="108">
        <f>'Month 3 OLD'!F21-'Summary of variances OLD'!E20-'Summary of variances OLD'!D20</f>
        <v>4880</v>
      </c>
      <c r="G20" s="108"/>
      <c r="H20" s="108">
        <f t="shared" si="0"/>
        <v>4880</v>
      </c>
      <c r="I20" s="13"/>
    </row>
    <row r="21" spans="1:9">
      <c r="A21" s="71"/>
      <c r="B21" s="77" t="s">
        <v>193</v>
      </c>
      <c r="C21" s="13"/>
      <c r="D21" s="108">
        <f>'Month 1 OLD'!F22</f>
        <v>-3981</v>
      </c>
      <c r="E21" s="108">
        <f>'Month 2 OLD'!F22-'Summary of variances OLD'!D21</f>
        <v>-3901</v>
      </c>
      <c r="F21" s="108">
        <f>'Month 3 OLD'!F22-'Summary of variances OLD'!E21-'Summary of variances OLD'!D21</f>
        <v>-16042.64</v>
      </c>
      <c r="G21" s="108"/>
      <c r="H21" s="108">
        <f t="shared" si="0"/>
        <v>-23924.639999999999</v>
      </c>
      <c r="I21" s="13"/>
    </row>
    <row r="22" spans="1:9">
      <c r="A22" s="71"/>
      <c r="B22" s="77" t="s">
        <v>195</v>
      </c>
      <c r="C22" s="13"/>
      <c r="D22" s="108">
        <f>'Month 1 OLD'!F23</f>
        <v>-2319</v>
      </c>
      <c r="E22" s="108">
        <f>'Month 2 OLD'!F23-'Summary of variances OLD'!D22</f>
        <v>3880</v>
      </c>
      <c r="F22" s="108">
        <f>'Month 3 OLD'!F23-'Summary of variances OLD'!E22-'Summary of variances OLD'!D22</f>
        <v>-10236</v>
      </c>
      <c r="G22" s="108"/>
      <c r="H22" s="108">
        <f>SUM(D22:G22)</f>
        <v>-8675</v>
      </c>
      <c r="I22" s="13"/>
    </row>
    <row r="23" spans="1:9">
      <c r="A23" s="71"/>
      <c r="B23" s="77" t="s">
        <v>194</v>
      </c>
      <c r="C23" s="13"/>
      <c r="D23" s="108">
        <f>'Month 1 OLD'!F24</f>
        <v>-1458.794871794873</v>
      </c>
      <c r="E23" s="108">
        <f>'Month 2 OLD'!F24-'Summary of variances OLD'!D23</f>
        <v>-2618.205128205127</v>
      </c>
      <c r="F23" s="108">
        <f>'Month 3 OLD'!F24-'Summary of variances OLD'!E23-'Summary of variances OLD'!D23</f>
        <v>-191</v>
      </c>
      <c r="G23" s="108"/>
      <c r="H23" s="108">
        <f t="shared" si="0"/>
        <v>-4268</v>
      </c>
      <c r="I23" s="13"/>
    </row>
    <row r="24" spans="1:9" ht="14">
      <c r="A24" s="71"/>
      <c r="B24" s="72" t="s">
        <v>173</v>
      </c>
      <c r="C24" s="13"/>
      <c r="D24" s="124">
        <f>'Month 1 OLD'!F25</f>
        <v>0</v>
      </c>
      <c r="E24" s="124">
        <f>'Month 2 OLD'!F25-'Summary of variances OLD'!D24</f>
        <v>0</v>
      </c>
      <c r="F24" s="124">
        <f>'Month 3 OLD'!F25-'Summary of variances OLD'!E24-'Summary of variances OLD'!D24</f>
        <v>0</v>
      </c>
      <c r="G24" s="124"/>
      <c r="H24" s="124">
        <f>SUM(D24:G24)</f>
        <v>0</v>
      </c>
      <c r="I24" s="13"/>
    </row>
    <row r="26" spans="1:9">
      <c r="B26" s="73" t="s">
        <v>174</v>
      </c>
      <c r="C26" s="76"/>
      <c r="D26" s="74">
        <f>SUM(D13:D25)</f>
        <v>6796.3398314014685</v>
      </c>
      <c r="E26" s="74">
        <f>SUM(E13:E25)</f>
        <v>-1835.4037583421177</v>
      </c>
      <c r="F26" s="74">
        <f>SUM(F13:F25)</f>
        <v>5391.8828310502249</v>
      </c>
      <c r="G26" s="74">
        <f>SUM(G13:G25)</f>
        <v>0</v>
      </c>
      <c r="H26" s="74">
        <f>SUM(H13:H25)</f>
        <v>10352.818904109576</v>
      </c>
    </row>
  </sheetData>
  <mergeCells count="5">
    <mergeCell ref="A1:H1"/>
    <mergeCell ref="A2:H2"/>
    <mergeCell ref="A3:H3"/>
    <mergeCell ref="A5:H5"/>
    <mergeCell ref="A4:H4"/>
  </mergeCells>
  <phoneticPr fontId="4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#10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46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#11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47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#12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48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#13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49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7"/>
    <pageSetUpPr fitToPage="1"/>
  </sheetPr>
  <dimension ref="A1:P58"/>
  <sheetViews>
    <sheetView workbookViewId="0">
      <pane xSplit="4" ySplit="6" topLeftCell="E7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ColWidth="8.83203125" defaultRowHeight="13"/>
  <cols>
    <col min="2" max="2" width="9.5" customWidth="1"/>
    <col min="3" max="3" width="6.83203125" customWidth="1"/>
    <col min="4" max="4" width="20.1640625" customWidth="1"/>
    <col min="5" max="5" width="10.33203125" style="10" hidden="1" customWidth="1"/>
    <col min="6" max="10" width="9.1640625" style="10" customWidth="1"/>
    <col min="11" max="14" width="9.1640625" style="10" hidden="1" customWidth="1"/>
    <col min="15" max="15" width="3.6640625" style="10" customWidth="1"/>
  </cols>
  <sheetData>
    <row r="1" spans="1:16" ht="16">
      <c r="B1" s="684" t="str">
        <f>C3</f>
        <v>Budget variation #14</v>
      </c>
      <c r="C1" s="684"/>
      <c r="D1" s="684"/>
      <c r="E1" s="684"/>
      <c r="F1" s="684"/>
      <c r="G1" s="684"/>
      <c r="H1" s="684"/>
      <c r="I1" s="8"/>
      <c r="J1" s="8"/>
      <c r="K1" s="8"/>
      <c r="L1" s="8"/>
      <c r="M1" s="8"/>
      <c r="N1" s="8"/>
      <c r="O1" s="8"/>
    </row>
    <row r="3" spans="1:16">
      <c r="B3" t="s">
        <v>18</v>
      </c>
      <c r="C3" s="2" t="s">
        <v>50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B4" t="s">
        <v>1</v>
      </c>
      <c r="C4" s="2" t="s">
        <v>31</v>
      </c>
      <c r="D4" s="2"/>
      <c r="P4" s="5"/>
    </row>
    <row r="5" spans="1:16">
      <c r="B5" t="s">
        <v>32</v>
      </c>
      <c r="C5" s="9"/>
      <c r="D5" s="9"/>
      <c r="P5" s="5"/>
    </row>
    <row r="6" spans="1:16">
      <c r="C6" s="2" t="s">
        <v>66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33</v>
      </c>
      <c r="J6" s="3" t="s">
        <v>37</v>
      </c>
      <c r="K6" s="3" t="s">
        <v>38</v>
      </c>
      <c r="L6" s="3" t="s">
        <v>39</v>
      </c>
      <c r="M6" s="3" t="s">
        <v>40</v>
      </c>
      <c r="N6" s="3" t="s">
        <v>41</v>
      </c>
      <c r="O6" s="3"/>
      <c r="P6" s="5"/>
    </row>
    <row r="7" spans="1:16" ht="16">
      <c r="A7" s="11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</row>
    <row r="8" spans="1:16" ht="12.75" customHeight="1">
      <c r="A8" s="11"/>
      <c r="B8" s="2" t="s">
        <v>6</v>
      </c>
      <c r="C8" s="2"/>
      <c r="D8" s="2"/>
      <c r="E8" s="4">
        <f t="shared" ref="E8:N8" si="0">SUM(E9:E17)</f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/>
      <c r="P8" s="5" t="s">
        <v>17</v>
      </c>
    </row>
    <row r="9" spans="1:16" ht="12.75" customHeight="1">
      <c r="A9" s="11"/>
      <c r="B9" s="2"/>
      <c r="C9" s="7" t="s">
        <v>19</v>
      </c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ht="12.75" customHeight="1">
      <c r="A10" s="11"/>
      <c r="C10" s="5" t="s">
        <v>20</v>
      </c>
      <c r="D10" s="5"/>
      <c r="E10" s="6"/>
      <c r="F10" s="6"/>
      <c r="G10" s="6"/>
      <c r="H10" s="6"/>
      <c r="I10" s="4"/>
      <c r="J10" s="4"/>
      <c r="K10" s="4"/>
      <c r="L10" s="4"/>
      <c r="M10" s="4"/>
      <c r="N10" s="4"/>
      <c r="O10" s="4"/>
      <c r="P10" s="5"/>
    </row>
    <row r="11" spans="1:16" ht="12.75" customHeight="1">
      <c r="A11" s="11"/>
      <c r="C11" s="5" t="s">
        <v>21</v>
      </c>
      <c r="D11" s="5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5"/>
    </row>
    <row r="12" spans="1:16" ht="12.75" customHeight="1">
      <c r="A12" s="11"/>
      <c r="C12" s="5" t="s">
        <v>22</v>
      </c>
      <c r="D12" s="5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5"/>
    </row>
    <row r="13" spans="1:16" ht="12.75" customHeight="1">
      <c r="A13" s="11"/>
      <c r="C13" s="5" t="s">
        <v>23</v>
      </c>
      <c r="D13" s="5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5"/>
    </row>
    <row r="14" spans="1:16" ht="12.75" customHeight="1">
      <c r="A14" s="11"/>
      <c r="C14" s="5" t="s">
        <v>24</v>
      </c>
      <c r="D14" s="5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5"/>
    </row>
    <row r="15" spans="1:16" ht="12.75" customHeight="1">
      <c r="A15" s="11"/>
      <c r="C15" s="5" t="s">
        <v>29</v>
      </c>
      <c r="D15" s="5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5"/>
    </row>
    <row r="16" spans="1:16" ht="12.75" customHeight="1">
      <c r="A16" s="11"/>
      <c r="C16" s="5" t="s">
        <v>7</v>
      </c>
      <c r="D16" s="5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5"/>
    </row>
    <row r="17" spans="1:16" ht="12.75" customHeight="1">
      <c r="A17" s="11"/>
      <c r="C17" s="5" t="s">
        <v>34</v>
      </c>
      <c r="D17" s="5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5"/>
    </row>
    <row r="18" spans="1:16" ht="12.75" customHeight="1">
      <c r="A18" s="11"/>
      <c r="P18" s="5"/>
    </row>
    <row r="19" spans="1:16" ht="12.75" customHeight="1">
      <c r="A19" s="11"/>
      <c r="B19" s="2" t="s">
        <v>8</v>
      </c>
      <c r="C19" s="2"/>
      <c r="D19" s="2"/>
      <c r="E19" s="4">
        <f t="shared" ref="E19:N19" si="1">SUM(E20:E27)</f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/>
      <c r="P19" s="5" t="s">
        <v>17</v>
      </c>
    </row>
    <row r="20" spans="1:16" ht="12.75" customHeight="1">
      <c r="A20" s="11"/>
      <c r="C20" s="5" t="s">
        <v>25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</row>
    <row r="21" spans="1:16" ht="12.75" customHeight="1">
      <c r="A21" s="11"/>
      <c r="C21" s="5" t="s">
        <v>26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ht="12.75" customHeight="1">
      <c r="A22" s="11"/>
      <c r="C22" s="5" t="s">
        <v>9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1:16" ht="12.75" customHeight="1">
      <c r="A23" s="11"/>
      <c r="C23" s="5" t="s">
        <v>27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</row>
    <row r="24" spans="1:16" ht="12.75" customHeight="1">
      <c r="A24" s="11"/>
      <c r="C24" s="5" t="s">
        <v>21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</row>
    <row r="25" spans="1:16" ht="12.75" customHeight="1">
      <c r="A25" s="11"/>
      <c r="C25" s="5" t="s">
        <v>19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12.75" customHeight="1">
      <c r="A26" s="11"/>
      <c r="C26" s="5" t="s">
        <v>30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</row>
    <row r="27" spans="1:16" ht="12.75" customHeight="1">
      <c r="A27" s="11"/>
      <c r="C27" s="5" t="s">
        <v>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</row>
    <row r="28" spans="1:16" ht="12.75" customHeight="1">
      <c r="A28" s="11"/>
      <c r="P28" s="5"/>
    </row>
    <row r="29" spans="1:16" ht="16">
      <c r="A29" s="11" t="s">
        <v>36</v>
      </c>
      <c r="P29" s="5"/>
    </row>
    <row r="30" spans="1:16">
      <c r="B30" s="2" t="s">
        <v>6</v>
      </c>
      <c r="C30" s="12"/>
      <c r="D30" s="12"/>
      <c r="E30" s="4">
        <f t="shared" ref="E30:N30" si="2">SUM(E31:E39)</f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/>
      <c r="P30" s="12"/>
    </row>
    <row r="31" spans="1:16">
      <c r="C31" s="7" t="s">
        <v>19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</row>
    <row r="32" spans="1:16">
      <c r="C32" s="5" t="s">
        <v>20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</row>
    <row r="33" spans="2:16">
      <c r="C33" s="5" t="s">
        <v>21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</row>
    <row r="34" spans="2:16">
      <c r="C34" s="5" t="s">
        <v>22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</row>
    <row r="35" spans="2:16">
      <c r="C35" s="5" t="s">
        <v>23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</row>
    <row r="36" spans="2:16">
      <c r="C36" s="5" t="s">
        <v>24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</row>
    <row r="37" spans="2:16">
      <c r="C37" s="5" t="s">
        <v>29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</row>
    <row r="38" spans="2:16">
      <c r="C38" s="5" t="s">
        <v>7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</row>
    <row r="39" spans="2:16">
      <c r="C39" s="5" t="s">
        <v>34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</row>
    <row r="40" spans="2:16">
      <c r="B40" s="2" t="s">
        <v>8</v>
      </c>
      <c r="C40" s="12"/>
      <c r="D40" s="12"/>
      <c r="E40" s="4">
        <f t="shared" ref="E40:N40" si="3">SUM(E41:E48)</f>
        <v>0</v>
      </c>
      <c r="F40" s="4">
        <f t="shared" si="3"/>
        <v>0</v>
      </c>
      <c r="G40" s="4">
        <f t="shared" si="3"/>
        <v>0</v>
      </c>
      <c r="H40" s="4">
        <f t="shared" si="3"/>
        <v>0</v>
      </c>
      <c r="I40" s="4">
        <f t="shared" si="3"/>
        <v>0</v>
      </c>
      <c r="J40" s="4">
        <f t="shared" si="3"/>
        <v>0</v>
      </c>
      <c r="K40" s="4">
        <f t="shared" si="3"/>
        <v>0</v>
      </c>
      <c r="L40" s="4">
        <f t="shared" si="3"/>
        <v>0</v>
      </c>
      <c r="M40" s="4">
        <f t="shared" si="3"/>
        <v>0</v>
      </c>
      <c r="N40" s="4">
        <f t="shared" si="3"/>
        <v>0</v>
      </c>
      <c r="O40" s="4"/>
      <c r="P40" s="12"/>
    </row>
    <row r="41" spans="2:16">
      <c r="C41" s="5" t="s">
        <v>25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</row>
    <row r="42" spans="2:16">
      <c r="C42" s="5" t="s">
        <v>26</v>
      </c>
      <c r="P42" s="5"/>
    </row>
    <row r="43" spans="2:16">
      <c r="C43" s="5" t="s">
        <v>9</v>
      </c>
      <c r="P43" s="5"/>
    </row>
    <row r="44" spans="2:16">
      <c r="C44" s="5" t="s">
        <v>27</v>
      </c>
      <c r="P44" s="5"/>
    </row>
    <row r="45" spans="2:16">
      <c r="C45" s="5" t="s">
        <v>21</v>
      </c>
      <c r="P45" s="5"/>
    </row>
    <row r="46" spans="2:16">
      <c r="C46" s="5" t="s">
        <v>19</v>
      </c>
      <c r="P46" s="5"/>
    </row>
    <row r="47" spans="2:16">
      <c r="C47" s="5" t="s">
        <v>30</v>
      </c>
      <c r="P47" s="5"/>
    </row>
    <row r="48" spans="2:16">
      <c r="C48" s="5" t="s">
        <v>10</v>
      </c>
      <c r="P48" s="5"/>
    </row>
    <row r="49" spans="2:16">
      <c r="C49" s="5"/>
      <c r="P49" s="5"/>
    </row>
    <row r="50" spans="2:16">
      <c r="B50" s="2" t="s">
        <v>11</v>
      </c>
      <c r="E50" s="4">
        <f t="shared" ref="E50:N50" si="4">E19-E8+E40-E30</f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/>
      <c r="P50" s="5" t="s">
        <v>17</v>
      </c>
    </row>
    <row r="51" spans="2:16">
      <c r="P51" s="5"/>
    </row>
    <row r="52" spans="2:16">
      <c r="B52" t="s">
        <v>12</v>
      </c>
      <c r="C52" t="s">
        <v>13</v>
      </c>
      <c r="E52" s="6">
        <f t="shared" ref="E52:N52" si="5">-E22-E43</f>
        <v>0</v>
      </c>
      <c r="F52" s="6">
        <f t="shared" si="5"/>
        <v>0</v>
      </c>
      <c r="G52" s="6">
        <f t="shared" si="5"/>
        <v>0</v>
      </c>
      <c r="H52" s="6">
        <f t="shared" si="5"/>
        <v>0</v>
      </c>
      <c r="I52" s="6">
        <f t="shared" si="5"/>
        <v>0</v>
      </c>
      <c r="J52" s="6">
        <f t="shared" si="5"/>
        <v>0</v>
      </c>
      <c r="K52" s="6">
        <f t="shared" si="5"/>
        <v>0</v>
      </c>
      <c r="L52" s="6">
        <f t="shared" si="5"/>
        <v>0</v>
      </c>
      <c r="M52" s="6">
        <f t="shared" si="5"/>
        <v>0</v>
      </c>
      <c r="N52" s="6">
        <f t="shared" si="5"/>
        <v>0</v>
      </c>
      <c r="O52" s="6"/>
      <c r="P52" s="5" t="s">
        <v>17</v>
      </c>
    </row>
    <row r="53" spans="2:16">
      <c r="B53" t="s">
        <v>14</v>
      </c>
      <c r="C53" t="s">
        <v>15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</row>
    <row r="54" spans="2:16">
      <c r="P54" s="5"/>
    </row>
    <row r="55" spans="2:16">
      <c r="B55" s="2" t="s">
        <v>65</v>
      </c>
      <c r="E55" s="4">
        <f t="shared" ref="E55:N55" si="6">E50+E52+E53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  <c r="M55" s="4">
        <f t="shared" si="6"/>
        <v>0</v>
      </c>
      <c r="N55" s="4">
        <f t="shared" si="6"/>
        <v>0</v>
      </c>
      <c r="O55" s="4"/>
      <c r="P55" s="5" t="s">
        <v>17</v>
      </c>
    </row>
    <row r="56" spans="2:16" ht="11.25" customHeight="1"/>
    <row r="57" spans="2:16" ht="11.25" customHeight="1">
      <c r="B57" s="2" t="s">
        <v>28</v>
      </c>
      <c r="E57" s="4">
        <f t="shared" ref="E57:N57" si="7">E19+E52+E53+E40</f>
        <v>0</v>
      </c>
      <c r="F57" s="4">
        <f t="shared" si="7"/>
        <v>0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</v>
      </c>
      <c r="K57" s="4">
        <f t="shared" si="7"/>
        <v>0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/>
    </row>
    <row r="58" spans="2:16" ht="11.25" customHeight="1"/>
  </sheetData>
  <mergeCells count="1">
    <mergeCell ref="B1:H1"/>
  </mergeCells>
  <phoneticPr fontId="4" type="noConversion"/>
  <pageMargins left="0.75" right="0.75" top="1" bottom="1" header="0.5" footer="0.5"/>
  <pageSetup paperSize="9" scale="56" orientation="portrait" horizontalDpi="4294967293"/>
  <headerFooter alignWithMargins="0">
    <oddFooter>&amp;L&amp;"Arial,Bold"&amp;12&amp;F&amp;C&amp;A&amp;R&amp;D&amp;T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D81643706B648894B2C3FE13894E2" ma:contentTypeVersion="16" ma:contentTypeDescription="Create a new document." ma:contentTypeScope="" ma:versionID="12b69b838d2c3422379d18c4ee2f7ef7">
  <xsd:schema xmlns:xsd="http://www.w3.org/2001/XMLSchema" xmlns:xs="http://www.w3.org/2001/XMLSchema" xmlns:p="http://schemas.microsoft.com/office/2006/metadata/properties" xmlns:ns2="770d65c3-7c7c-4380-bd50-70df5e95ddcc" xmlns:ns3="8abfb3c5-a117-4a6e-afac-558f6f3a6acd" targetNamespace="http://schemas.microsoft.com/office/2006/metadata/properties" ma:root="true" ma:fieldsID="6240e903d707e76d3ea5336e8f6f3a0b" ns2:_="" ns3:_="">
    <xsd:import namespace="770d65c3-7c7c-4380-bd50-70df5e95ddcc"/>
    <xsd:import namespace="8abfb3c5-a117-4a6e-afac-558f6f3a6a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65c3-7c7c-4380-bd50-70df5e95ddc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0fb549bd-f1bf-4c0d-9318-48cb764019fa}" ma:internalName="TaxCatchAll" ma:showField="CatchAllData" ma:web="770d65c3-7c7c-4380-bd50-70df5e95d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fb3c5-a117-4a6e-afac-558f6f3a6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5d55ae3-8572-4cb7-af58-e7b446a7c2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0d65c3-7c7c-4380-bd50-70df5e95ddcc" xsi:nil="true"/>
    <lcf76f155ced4ddcb4097134ff3c332f xmlns="8abfb3c5-a117-4a6e-afac-558f6f3a6acd">
      <Terms xmlns="http://schemas.microsoft.com/office/infopath/2007/PartnerControls"/>
    </lcf76f155ced4ddcb4097134ff3c332f>
    <_dlc_DocId xmlns="770d65c3-7c7c-4380-bd50-70df5e95ddcc">DVDDA55576SS-1789308693-121101</_dlc_DocId>
    <_dlc_DocIdUrl xmlns="770d65c3-7c7c-4380-bd50-70df5e95ddcc">
      <Url>https://ipaa.sharepoint.com/sites/IPAA/_layouts/15/DocIdRedir.aspx?ID=DVDDA55576SS-1789308693-121101</Url>
      <Description>DVDDA55576SS-1789308693-121101</Description>
    </_dlc_DocIdUrl>
  </documentManagement>
</p:properties>
</file>

<file path=customXml/itemProps1.xml><?xml version="1.0" encoding="utf-8"?>
<ds:datastoreItem xmlns:ds="http://schemas.openxmlformats.org/officeDocument/2006/customXml" ds:itemID="{710BC310-D101-4B80-9481-9989464CB254}"/>
</file>

<file path=customXml/itemProps2.xml><?xml version="1.0" encoding="utf-8"?>
<ds:datastoreItem xmlns:ds="http://schemas.openxmlformats.org/officeDocument/2006/customXml" ds:itemID="{907240F3-244F-4AB7-A404-D73C7FDCB837}"/>
</file>

<file path=customXml/itemProps3.xml><?xml version="1.0" encoding="utf-8"?>
<ds:datastoreItem xmlns:ds="http://schemas.openxmlformats.org/officeDocument/2006/customXml" ds:itemID="{C2C81FB9-AEF9-4F26-B66E-19E337FCC3A0}"/>
</file>

<file path=customXml/itemProps4.xml><?xml version="1.0" encoding="utf-8"?>
<ds:datastoreItem xmlns:ds="http://schemas.openxmlformats.org/officeDocument/2006/customXml" ds:itemID="{442E6DA8-F0C2-4A4A-8FC1-23CE714D9B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Budget Variation #6</vt:lpstr>
      <vt:lpstr>Budget Variation #7</vt:lpstr>
      <vt:lpstr>Budget Variation #8</vt:lpstr>
      <vt:lpstr>Budget Variation #9</vt:lpstr>
      <vt:lpstr>Budget Variation #10</vt:lpstr>
      <vt:lpstr>Budget Variation #11</vt:lpstr>
      <vt:lpstr>Budget Variation #12</vt:lpstr>
      <vt:lpstr>Budget Variation #13</vt:lpstr>
      <vt:lpstr>Budget Variation #14</vt:lpstr>
      <vt:lpstr>Budget Variation #15</vt:lpstr>
      <vt:lpstr>Budget Variation #16</vt:lpstr>
      <vt:lpstr>Budget Variation #17</vt:lpstr>
      <vt:lpstr>Budget Variation #18</vt:lpstr>
      <vt:lpstr>Budget Variation #19</vt:lpstr>
      <vt:lpstr>Budget Variation #20</vt:lpstr>
      <vt:lpstr>Staff establishment basic</vt:lpstr>
      <vt:lpstr>Staff establishment allowance</vt:lpstr>
      <vt:lpstr>updated budget</vt:lpstr>
      <vt:lpstr>zero based budget</vt:lpstr>
      <vt:lpstr>budget impact</vt:lpstr>
      <vt:lpstr>Proposal #4</vt:lpstr>
      <vt:lpstr>Proposal #5</vt:lpstr>
      <vt:lpstr>Proposal #6</vt:lpstr>
      <vt:lpstr>Proposal #7</vt:lpstr>
      <vt:lpstr>Proposal #8</vt:lpstr>
      <vt:lpstr>Proposal #9</vt:lpstr>
      <vt:lpstr>Proposal #10</vt:lpstr>
      <vt:lpstr>assumptions completed</vt:lpstr>
      <vt:lpstr>assumptions updated</vt:lpstr>
      <vt:lpstr>assumptions blank</vt:lpstr>
      <vt:lpstr>cashflow blank</vt:lpstr>
      <vt:lpstr>cashflow updated</vt:lpstr>
      <vt:lpstr>Month 1 rv</vt:lpstr>
      <vt:lpstr>Month 2 rv</vt:lpstr>
      <vt:lpstr>Month 3 rv</vt:lpstr>
      <vt:lpstr>Month 3 Libraries</vt:lpstr>
      <vt:lpstr>DfE format report</vt:lpstr>
      <vt:lpstr>DEW format</vt:lpstr>
      <vt:lpstr>EPA format</vt:lpstr>
      <vt:lpstr>DHS format</vt:lpstr>
      <vt:lpstr>SAPOL format</vt:lpstr>
      <vt:lpstr>Summary of variances</vt:lpstr>
      <vt:lpstr>August transactions</vt:lpstr>
      <vt:lpstr>August rv</vt:lpstr>
      <vt:lpstr>September transactions</vt:lpstr>
      <vt:lpstr>Month 1 OLD</vt:lpstr>
      <vt:lpstr>Month 2 OLD</vt:lpstr>
      <vt:lpstr>Month 3 OLD</vt:lpstr>
      <vt:lpstr>Summary of variances OLD</vt:lpstr>
    </vt:vector>
  </TitlesOfParts>
  <Company>ABFA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Priadko</dc:creator>
  <cp:lastModifiedBy>Mark Priadko</cp:lastModifiedBy>
  <cp:lastPrinted>2008-07-01T11:57:03Z</cp:lastPrinted>
  <dcterms:created xsi:type="dcterms:W3CDTF">2004-05-15T11:43:36Z</dcterms:created>
  <dcterms:modified xsi:type="dcterms:W3CDTF">2026-01-18T11:59:11Z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0x010100EF8D81643706B648894B2C3FE13894E2</vt:lpwstr>
  </property>
  <property fmtid="{D5CDD505-2E9C-101B-9397-08002B2CF9AE}" pid="3" name="_dlc_DocIdItemGuid">
    <vt:lpwstr>db552d9b-1d4e-4ff9-b9c1-ade830afce4e</vt:lpwstr>
  </property>
</Properties>
</file>